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Rec\"/>
    </mc:Choice>
  </mc:AlternateContent>
  <xr:revisionPtr revIDLastSave="0" documentId="8_{1C113609-5828-4D82-B181-16F9212CB7F2}" xr6:coauthVersionLast="45" xr6:coauthVersionMax="45" xr10:uidLastSave="{00000000-0000-0000-0000-000000000000}"/>
  <bookViews>
    <workbookView xWindow="-120" yWindow="-120" windowWidth="20730" windowHeight="11160" xr2:uid="{99529E15-1F35-4285-B10C-854C5A703606}"/>
  </bookViews>
  <sheets>
    <sheet name="Index_Data" sheetId="48" r:id="rId1"/>
    <sheet name="Income_Statement" sheetId="3" r:id="rId2"/>
    <sheet name="Balance_Sheet" sheetId="4" r:id="rId3"/>
    <sheet name="CashFlow_Statement" sheetId="5" r:id="rId4"/>
    <sheet name="CommonSize_Balance_Sheet" sheetId="6" r:id="rId5"/>
    <sheet name="CommonSize_Income_Statement" sheetId="7" r:id="rId6"/>
    <sheet name="Ratios" sheetId="8" r:id="rId7"/>
    <sheet name="Earning__Per_Share" sheetId="9" r:id="rId8"/>
    <sheet name="Equity_Dividend_Per_Share" sheetId="10" r:id="rId9"/>
    <sheet name="Book_Value__Per_Share" sheetId="11" r:id="rId10"/>
    <sheet name="Dividend_Pay_Out_Ratio" sheetId="12" r:id="rId11"/>
    <sheet name="Dividend_Retention_Ratio" sheetId="13" r:id="rId12"/>
    <sheet name="Gross_Profit" sheetId="14" r:id="rId13"/>
    <sheet name="Net_Profit" sheetId="15" r:id="rId14"/>
    <sheet name="Return_On_Assets" sheetId="16" r:id="rId15"/>
    <sheet name="Return_On_Capital_Employeed" sheetId="17" r:id="rId16"/>
    <sheet name="Return_On_Equity" sheetId="18" r:id="rId17"/>
    <sheet name="Debt_Equity_Ratio" sheetId="19" r:id="rId18"/>
    <sheet name="Current_Ratio" sheetId="20" r:id="rId19"/>
    <sheet name="Quick_Ratio" sheetId="21" r:id="rId20"/>
    <sheet name="Interest_Coverage_Ratio" sheetId="22" r:id="rId21"/>
    <sheet name="Material_Consumed" sheetId="23" r:id="rId22"/>
    <sheet name="Defensive_Interval_Ratio" sheetId="24" r:id="rId23"/>
    <sheet name="Purchases_Per_Day" sheetId="25" r:id="rId24"/>
    <sheet name="Asset_TurnOver_Ratio" sheetId="26" r:id="rId25"/>
    <sheet name="Inventory_TurnOver_Ratio" sheetId="27" r:id="rId26"/>
    <sheet name="Debtors_TurnOver_Ratio" sheetId="28" r:id="rId27"/>
    <sheet name="Fixed_Assets_TurnOver_Ratio" sheetId="29" r:id="rId28"/>
    <sheet name="Payable_TurnOver_Ratio" sheetId="30" r:id="rId29"/>
    <sheet name="Inventory_Days" sheetId="31" r:id="rId30"/>
    <sheet name="Payable_Days" sheetId="32" r:id="rId31"/>
    <sheet name="Receivable_Days" sheetId="33" r:id="rId32"/>
    <sheet name="Operating_Cycle" sheetId="34" r:id="rId33"/>
    <sheet name="Cash_Conversion_Cycle_Days" sheetId="35" r:id="rId34"/>
    <sheet name="NetWorthVsTotalLiabilties" sheetId="36" r:id="rId35"/>
    <sheet name="PBDITvsPBIT" sheetId="37" r:id="rId36"/>
    <sheet name="CAvsCL" sheetId="38" r:id="rId37"/>
    <sheet name="Long_And_Short_Term_Provisions" sheetId="39" r:id="rId38"/>
    <sheet name="MaterialConsumed_DirectExpenses" sheetId="40" r:id="rId39"/>
    <sheet name="Gross_Sales_In_Total_Income" sheetId="41" r:id="rId40"/>
    <sheet name="Total_Debt_In_Liabilities" sheetId="42" r:id="rId41"/>
    <sheet name="Total_CL_In_Liabilities" sheetId="43" r:id="rId42"/>
    <sheet name="Total_NCA_In_Assets" sheetId="44" r:id="rId43"/>
    <sheet name="Total_CA_In_Assets" sheetId="45" r:id="rId44"/>
    <sheet name="TotalExpenditureVsTotalIncome" sheetId="46" r:id="rId45"/>
    <sheet name="Net_Profit_CF_To_Balance_Sheet" sheetId="47" r:id="rId46"/>
  </sheets>
  <definedNames>
    <definedName name="AmountCFtoBalanceSheet">Income_Statement!$B$30:$G$30</definedName>
    <definedName name="AssetTurnOverRatio">Asset_TurnOver_Ratio!$B$8:$G$8</definedName>
    <definedName name="BookValuePerShare">Book_Value__Per_Share!$B$8:$G$8</definedName>
    <definedName name="CapitalWorkInProgress">Balance_Sheet!$B$29:$G$29</definedName>
    <definedName name="CashAndCashEquivalents">Balance_Sheet!$B$38:$G$38</definedName>
    <definedName name="CashCFtoBalanceSheet">CashFlow_Statement!$B$48:$G$48</definedName>
    <definedName name="CostOfMaterialsConsumed">Income_Statement!$B$11:$G$11</definedName>
    <definedName name="CurrentInvestments">Balance_Sheet!$B$28:$G$28</definedName>
    <definedName name="CurrentRatio">Current_Ratio!$B$8:$G$8</definedName>
    <definedName name="DebtEquityRatio">Debt_Equity_Ratio!$B$8:$G$8</definedName>
    <definedName name="DebtorsTurnOverRatio">Debtors_TurnOver_Ratio!$B$8:$G$8</definedName>
    <definedName name="DefensiveIntervalRatio">Defensive_Interval_Ratio!$B$8:$G$8</definedName>
    <definedName name="DeferredTaxAssetsNet">Balance_Sheet!$B$31:$G$31</definedName>
    <definedName name="DeferredTaxLiabilitiesNet">Balance_Sheet!$B$11:$G$11</definedName>
    <definedName name="Depreciation">Balance_Sheet!$B$25:$G$25</definedName>
    <definedName name="DepreciationAndAmortisationExpenses">Income_Statement!$B$18:$G$18</definedName>
    <definedName name="EarningPerShare">Earning__Per_Share!$B$8:$G$8</definedName>
    <definedName name="EmployeeBenefitExpenses">Income_Statement!$B$13:$G$13</definedName>
    <definedName name="EquityDividendPerShare">Equity_Dividend_Per_Share!$B$8:$G$8</definedName>
    <definedName name="EquityShareCapital">Balance_Sheet!$B$5:$G$5</definedName>
    <definedName name="EquityShareDividend">Income_Statement!$B$28:$G$28</definedName>
    <definedName name="ExceptionalItems">Income_Statement!$B$24:$G$24</definedName>
    <definedName name="ExciseDuty">Income_Statement!$B$6:$G$6</definedName>
    <definedName name="FinanceCosts">Income_Statement!$B$20:$G$20</definedName>
    <definedName name="GrossProfit">Gross_Profit!$B$8:$G$8</definedName>
    <definedName name="GrossSales">Income_Statement!$B$5:$G$5</definedName>
    <definedName name="IntangibleAssets">Balance_Sheet!$B$24:$G$24</definedName>
    <definedName name="InterestCoverageRatio">Interest_Coverage_Ratio!$B$8:$G$8</definedName>
    <definedName name="Inventories">Balance_Sheet!$B$36:$G$36</definedName>
    <definedName name="InventoryTurnOverRatio">Inventory_TurnOver_Ratio!$B$8:$G$8</definedName>
    <definedName name="LongTermBorrowings">Balance_Sheet!$B$10:$G$10</definedName>
    <definedName name="LongTermLoansAndAdvances">Balance_Sheet!$B$32:$G$32</definedName>
    <definedName name="LongTermProvisions">Balance_Sheet!$B$14:$G$14</definedName>
    <definedName name="MaterialConsumed">Material_Consumed!$B$8:$G$8</definedName>
    <definedName name="MinorityInterest">Balance_Sheet!$B$20:$G$20</definedName>
    <definedName name="NetAssets">Balance_Sheet!$B$26:$G$26</definedName>
    <definedName name="NetProfit">Net_Profit!$B$8:$G$8</definedName>
    <definedName name="NetSales">Income_Statement!$B$7:$G$7</definedName>
    <definedName name="NetWorth">Balance_Sheet!$B$9:$G$9</definedName>
    <definedName name="NonCurrentInvestments">Balance_Sheet!$B$27:$G$27</definedName>
    <definedName name="OperatingAndDirectExpenses">Income_Statement!$B$12:$G$12</definedName>
    <definedName name="OperatingProfit">Income_Statement!$B$16:$G$16</definedName>
    <definedName name="OtherCurrentAssets">Balance_Sheet!$B$35:$G$35</definedName>
    <definedName name="OtherCurrentLiabilities">Balance_Sheet!$B$18:$G$18</definedName>
    <definedName name="OtherExpenses">Income_Statement!$B$14:$G$14</definedName>
    <definedName name="OtherIncome">Income_Statement!$B$8:$G$8</definedName>
    <definedName name="OtherLongTermLiabilities">Balance_Sheet!$B$16:$G$16</definedName>
    <definedName name="OtherNonCurrentAssets">Balance_Sheet!$B$33:$G$33</definedName>
    <definedName name="PBDIT">Income_Statement!$B$17:$G$17</definedName>
    <definedName name="PBIT">Income_Statement!$B$19:$G$19</definedName>
    <definedName name="PBT">Income_Statement!$B$23:$G$23</definedName>
    <definedName name="PBTPostExtraOrdinaryItems">Income_Statement!$B$25:$G$25</definedName>
    <definedName name="PreferenceShareCapital">Balance_Sheet!$B$6:$G$6</definedName>
    <definedName name="ProfitBeforeshareofAssociates">Income_Statement!$B$21:$G$21</definedName>
    <definedName name="QuickRatio">Quick_Ratio!$B$9:$G$9</definedName>
    <definedName name="ReportedNetProfitPAT">Income_Statement!$B$27:$G$27</definedName>
    <definedName name="ReservesandSurplus">Balance_Sheet!$B$8:$G$8</definedName>
    <definedName name="ReturnOnAssets">Return_On_Assets!$B$8:$G$8</definedName>
    <definedName name="ReturnOnCapitalEmployeed">Return_On_Capital_Employeed!$B$9:$G$9</definedName>
    <definedName name="ReturnOnEquity">Return_On_Equity!$B$8:$G$8</definedName>
    <definedName name="ShareOfProfitLossOfAssociates">Income_Statement!$B$22:$G$22</definedName>
    <definedName name="SharesOutstanding">Income_Statement!$B$35:$G$35</definedName>
    <definedName name="ShortTermBorrowings">Balance_Sheet!$B$12:$G$12</definedName>
    <definedName name="ShortTermLoansAndAdvances">Balance_Sheet!$B$34:$G$34</definedName>
    <definedName name="ShortTermProvisions">Balance_Sheet!$B$15:$G$15</definedName>
    <definedName name="StockAdjustments">Income_Statement!$B$9:$G$9</definedName>
    <definedName name="TangibleAssets">Balance_Sheet!$B$23:$G$23</definedName>
    <definedName name="TaxOnDividend">Income_Statement!$B$29:$G$29</definedName>
    <definedName name="TotalAssets">Balance_Sheet!$B$40:$G$40</definedName>
    <definedName name="TotalCashFlowfromInvestmentActivities">CashFlow_Statement!$B$35:$G$35</definedName>
    <definedName name="TotalCashFromFinancingActivities">CashFlow_Statement!$B$47:$G$47</definedName>
    <definedName name="TotalCashfromOperatingActivities">CashFlow_Statement!$B$27:$G$27</definedName>
    <definedName name="TotalCurrentAssets">Balance_Sheet!$B$39:$G$39</definedName>
    <definedName name="TotalCurrentLiabilities">Balance_Sheet!$B$19:$G$19</definedName>
    <definedName name="TotalDebt">Balance_Sheet!$B$13:$G$13</definedName>
    <definedName name="TotalExpenditure">Income_Statement!$B$15:$G$15</definedName>
    <definedName name="TotalIncome">Income_Statement!$B$10:$G$10</definedName>
    <definedName name="TotalLiabilities">Balance_Sheet!$B$21:$G$21</definedName>
    <definedName name="TotalNonCashNonOperatingTransactions">CashFlow_Statement!$B$10:$G$10</definedName>
    <definedName name="TotalNonCurrentAssets">Balance_Sheet!$B$30:$G$30</definedName>
    <definedName name="TotalShareCapital">Balance_Sheet!$B$7:$G$7</definedName>
    <definedName name="TotalTaxExpenses">Income_Statement!$B$26:$G$26</definedName>
    <definedName name="TradePayables">Balance_Sheet!$B$17:$G$17</definedName>
    <definedName name="TradeReceivables">Balance_Sheet!$B$37:$G$37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47" l="1"/>
  <c r="D5" i="47"/>
  <c r="E5" i="47"/>
  <c r="F5" i="47"/>
  <c r="G5" i="47"/>
  <c r="C6" i="47"/>
  <c r="D6" i="47"/>
  <c r="E6" i="47"/>
  <c r="F6" i="47"/>
  <c r="G6" i="47"/>
  <c r="B6" i="47"/>
  <c r="B5" i="47"/>
  <c r="D4" i="47"/>
  <c r="E4" i="47"/>
  <c r="F4" i="47"/>
  <c r="G4" i="47"/>
  <c r="C4" i="47"/>
  <c r="C5" i="46"/>
  <c r="D5" i="46"/>
  <c r="E5" i="46"/>
  <c r="F5" i="46"/>
  <c r="G5" i="46"/>
  <c r="C6" i="46"/>
  <c r="D6" i="46"/>
  <c r="E6" i="46"/>
  <c r="F6" i="46"/>
  <c r="G6" i="46"/>
  <c r="B6" i="46"/>
  <c r="B5" i="46"/>
  <c r="D4" i="46"/>
  <c r="E4" i="46"/>
  <c r="F4" i="46"/>
  <c r="G4" i="46"/>
  <c r="C4" i="46"/>
  <c r="C5" i="45"/>
  <c r="C6" i="45"/>
  <c r="B6" i="45"/>
  <c r="B5" i="45"/>
  <c r="D4" i="45"/>
  <c r="E4" i="45"/>
  <c r="F4" i="45"/>
  <c r="G4" i="45"/>
  <c r="C4" i="45"/>
  <c r="C5" i="44"/>
  <c r="C6" i="44"/>
  <c r="B6" i="44"/>
  <c r="B5" i="44"/>
  <c r="D4" i="44"/>
  <c r="E4" i="44"/>
  <c r="F4" i="44"/>
  <c r="G4" i="44"/>
  <c r="C4" i="44"/>
  <c r="C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C6" i="36"/>
  <c r="B6" i="36"/>
  <c r="B5" i="36"/>
  <c r="D4" i="36"/>
  <c r="E4" i="36"/>
  <c r="F4" i="36"/>
  <c r="G4" i="36"/>
  <c r="C4" i="36"/>
  <c r="E15" i="35"/>
  <c r="C13" i="35"/>
  <c r="D13" i="35"/>
  <c r="D15" i="35" s="1"/>
  <c r="E13" i="35"/>
  <c r="F13" i="35"/>
  <c r="F15" i="35" s="1"/>
  <c r="G13" i="35"/>
  <c r="C14" i="35"/>
  <c r="C15" i="35" s="1"/>
  <c r="D14" i="35"/>
  <c r="E14" i="35"/>
  <c r="F14" i="35"/>
  <c r="G14" i="35"/>
  <c r="B14" i="35"/>
  <c r="B13" i="35"/>
  <c r="F11" i="35"/>
  <c r="C9" i="35"/>
  <c r="D9" i="35"/>
  <c r="D11" i="35" s="1"/>
  <c r="E9" i="35"/>
  <c r="F9" i="35"/>
  <c r="G9" i="35"/>
  <c r="C10" i="35"/>
  <c r="C11" i="35" s="1"/>
  <c r="C12" i="35" s="1"/>
  <c r="D10" i="35"/>
  <c r="E10" i="35"/>
  <c r="F10" i="35"/>
  <c r="G10" i="35"/>
  <c r="G11" i="35" s="1"/>
  <c r="B10" i="35"/>
  <c r="B9" i="35"/>
  <c r="F8" i="35"/>
  <c r="C6" i="35"/>
  <c r="C8" i="35" s="1"/>
  <c r="D6" i="35"/>
  <c r="E6" i="35"/>
  <c r="E8" i="35" s="1"/>
  <c r="F6" i="35"/>
  <c r="G6" i="35"/>
  <c r="G8" i="35" s="1"/>
  <c r="C7" i="35"/>
  <c r="D7" i="35"/>
  <c r="E7" i="35"/>
  <c r="F7" i="35"/>
  <c r="G7" i="35"/>
  <c r="B7" i="35"/>
  <c r="B6" i="35"/>
  <c r="G11" i="34"/>
  <c r="G12" i="34" s="1"/>
  <c r="C9" i="34"/>
  <c r="C11" i="34" s="1"/>
  <c r="D9" i="34"/>
  <c r="E9" i="34"/>
  <c r="E11" i="34" s="1"/>
  <c r="F9" i="34"/>
  <c r="G9" i="34"/>
  <c r="C10" i="34"/>
  <c r="D10" i="34"/>
  <c r="D11" i="34" s="1"/>
  <c r="D12" i="34" s="1"/>
  <c r="E10" i="34"/>
  <c r="F10" i="34"/>
  <c r="G10" i="34"/>
  <c r="B10" i="34"/>
  <c r="B9" i="34"/>
  <c r="F8" i="34"/>
  <c r="G8" i="34"/>
  <c r="C6" i="34"/>
  <c r="D6" i="34"/>
  <c r="E6" i="34"/>
  <c r="E8" i="34" s="1"/>
  <c r="F6" i="34"/>
  <c r="G6" i="34"/>
  <c r="C7" i="34"/>
  <c r="C8" i="34" s="1"/>
  <c r="D7" i="34"/>
  <c r="D8" i="34" s="1"/>
  <c r="E7" i="34"/>
  <c r="F7" i="34"/>
  <c r="G7" i="34"/>
  <c r="B7" i="34"/>
  <c r="B6" i="34"/>
  <c r="E8" i="33"/>
  <c r="F8" i="33"/>
  <c r="C6" i="33"/>
  <c r="D6" i="33"/>
  <c r="D8" i="33" s="1"/>
  <c r="E6" i="33"/>
  <c r="F6" i="33"/>
  <c r="G6" i="33"/>
  <c r="C7" i="33"/>
  <c r="D7" i="33"/>
  <c r="E7" i="33"/>
  <c r="F7" i="33"/>
  <c r="G7" i="33"/>
  <c r="G8" i="33" s="1"/>
  <c r="B7" i="33"/>
  <c r="B6" i="33"/>
  <c r="C8" i="32"/>
  <c r="C6" i="32"/>
  <c r="D6" i="32"/>
  <c r="D8" i="32" s="1"/>
  <c r="E6" i="32"/>
  <c r="F6" i="32"/>
  <c r="F8" i="32" s="1"/>
  <c r="G6" i="32"/>
  <c r="C7" i="32"/>
  <c r="D7" i="32"/>
  <c r="E7" i="32"/>
  <c r="E8" i="32" s="1"/>
  <c r="F7" i="32"/>
  <c r="G7" i="32"/>
  <c r="B7" i="32"/>
  <c r="B6" i="32"/>
  <c r="G8" i="31"/>
  <c r="C8" i="31"/>
  <c r="C6" i="31"/>
  <c r="D6" i="31"/>
  <c r="E6" i="31"/>
  <c r="F6" i="31"/>
  <c r="F8" i="31" s="1"/>
  <c r="G6" i="31"/>
  <c r="C7" i="31"/>
  <c r="D7" i="31"/>
  <c r="D8" i="31" s="1"/>
  <c r="E7" i="31"/>
  <c r="E8" i="31" s="1"/>
  <c r="F7" i="31"/>
  <c r="G7" i="31"/>
  <c r="B7" i="31"/>
  <c r="B6" i="31"/>
  <c r="F8" i="30"/>
  <c r="C6" i="30"/>
  <c r="D6" i="30"/>
  <c r="D8" i="30" s="1"/>
  <c r="E6" i="30"/>
  <c r="F6" i="30"/>
  <c r="G6" i="30"/>
  <c r="C7" i="30"/>
  <c r="C8" i="30" s="1"/>
  <c r="D7" i="30"/>
  <c r="E7" i="30"/>
  <c r="F7" i="30"/>
  <c r="G7" i="30"/>
  <c r="G8" i="30" s="1"/>
  <c r="B7" i="30"/>
  <c r="B6" i="30"/>
  <c r="F8" i="29"/>
  <c r="C6" i="29"/>
  <c r="C8" i="29" s="1"/>
  <c r="D6" i="29"/>
  <c r="E6" i="29"/>
  <c r="E8" i="29" s="1"/>
  <c r="F6" i="29"/>
  <c r="G6" i="29"/>
  <c r="G8" i="29" s="1"/>
  <c r="C7" i="29"/>
  <c r="D7" i="29"/>
  <c r="E7" i="29"/>
  <c r="F7" i="29"/>
  <c r="G7" i="29"/>
  <c r="B7" i="29"/>
  <c r="B6" i="29"/>
  <c r="D8" i="28"/>
  <c r="F8" i="28"/>
  <c r="C6" i="28"/>
  <c r="C8" i="28" s="1"/>
  <c r="D6" i="28"/>
  <c r="E6" i="28"/>
  <c r="F6" i="28"/>
  <c r="G6" i="28"/>
  <c r="G8" i="28" s="1"/>
  <c r="C7" i="28"/>
  <c r="D7" i="28"/>
  <c r="E7" i="28"/>
  <c r="E8" i="28" s="1"/>
  <c r="F7" i="28"/>
  <c r="G7" i="28"/>
  <c r="B7" i="28"/>
  <c r="B6" i="28"/>
  <c r="G8" i="27"/>
  <c r="C6" i="27"/>
  <c r="C8" i="27" s="1"/>
  <c r="D6" i="27"/>
  <c r="E6" i="27"/>
  <c r="E8" i="27" s="1"/>
  <c r="F6" i="27"/>
  <c r="G6" i="27"/>
  <c r="C7" i="27"/>
  <c r="D7" i="27"/>
  <c r="D8" i="27" s="1"/>
  <c r="E7" i="27"/>
  <c r="F7" i="27"/>
  <c r="G7" i="27"/>
  <c r="B7" i="27"/>
  <c r="B6" i="27"/>
  <c r="C8" i="26"/>
  <c r="C6" i="26"/>
  <c r="D6" i="26"/>
  <c r="E6" i="26"/>
  <c r="F6" i="26"/>
  <c r="G6" i="26"/>
  <c r="C7" i="26"/>
  <c r="B7" i="26"/>
  <c r="B6" i="26"/>
  <c r="C6" i="25"/>
  <c r="C8" i="25" s="1"/>
  <c r="B6" i="25"/>
  <c r="C8" i="24"/>
  <c r="C6" i="24"/>
  <c r="C7" i="24"/>
  <c r="D7" i="24"/>
  <c r="E7" i="24"/>
  <c r="F7" i="24"/>
  <c r="G7" i="24"/>
  <c r="B7" i="24"/>
  <c r="B6" i="24"/>
  <c r="E8" i="23"/>
  <c r="F8" i="23"/>
  <c r="C6" i="23"/>
  <c r="D6" i="23"/>
  <c r="D8" i="23" s="1"/>
  <c r="E6" i="23"/>
  <c r="F6" i="23"/>
  <c r="G6" i="23"/>
  <c r="C7" i="23"/>
  <c r="D7" i="23"/>
  <c r="E7" i="23"/>
  <c r="F7" i="23"/>
  <c r="G7" i="23"/>
  <c r="G8" i="23" s="1"/>
  <c r="B7" i="23"/>
  <c r="B6" i="23"/>
  <c r="C8" i="22"/>
  <c r="C6" i="22"/>
  <c r="D6" i="22"/>
  <c r="D8" i="22" s="1"/>
  <c r="E6" i="22"/>
  <c r="F6" i="22"/>
  <c r="F8" i="22" s="1"/>
  <c r="G6" i="22"/>
  <c r="C7" i="22"/>
  <c r="D7" i="22"/>
  <c r="E7" i="22"/>
  <c r="E8" i="22" s="1"/>
  <c r="F7" i="22"/>
  <c r="G7" i="22"/>
  <c r="B7" i="22"/>
  <c r="B6" i="22"/>
  <c r="C9" i="21"/>
  <c r="C6" i="21"/>
  <c r="C7" i="21"/>
  <c r="D7" i="21"/>
  <c r="E7" i="21"/>
  <c r="F7" i="21"/>
  <c r="G7" i="21"/>
  <c r="C8" i="21"/>
  <c r="D8" i="21"/>
  <c r="E8" i="21"/>
  <c r="F8" i="21"/>
  <c r="G8" i="21"/>
  <c r="B8" i="21"/>
  <c r="B7" i="21"/>
  <c r="B6" i="21"/>
  <c r="C6" i="20"/>
  <c r="C7" i="20"/>
  <c r="D7" i="20"/>
  <c r="E7" i="20"/>
  <c r="F7" i="20"/>
  <c r="G7" i="20"/>
  <c r="B7" i="20"/>
  <c r="B6" i="20"/>
  <c r="C8" i="19"/>
  <c r="C6" i="19"/>
  <c r="D6" i="19"/>
  <c r="E6" i="19"/>
  <c r="F6" i="19"/>
  <c r="G6" i="19"/>
  <c r="C7" i="19"/>
  <c r="B7" i="19"/>
  <c r="B6" i="19"/>
  <c r="C8" i="18"/>
  <c r="C6" i="18"/>
  <c r="D6" i="18"/>
  <c r="E6" i="18"/>
  <c r="F6" i="18"/>
  <c r="G6" i="18"/>
  <c r="C7" i="18"/>
  <c r="B7" i="18"/>
  <c r="B6" i="18"/>
  <c r="F9" i="17"/>
  <c r="C6" i="17"/>
  <c r="C9" i="17" s="1"/>
  <c r="D6" i="17"/>
  <c r="E6" i="17"/>
  <c r="E9" i="17" s="1"/>
  <c r="F6" i="17"/>
  <c r="G6" i="17"/>
  <c r="G9" i="17" s="1"/>
  <c r="C7" i="17"/>
  <c r="D7" i="17"/>
  <c r="E7" i="17"/>
  <c r="F7" i="17"/>
  <c r="G7" i="17"/>
  <c r="C8" i="17"/>
  <c r="B8" i="17"/>
  <c r="B7" i="17"/>
  <c r="B6" i="17"/>
  <c r="C8" i="16"/>
  <c r="C6" i="16"/>
  <c r="D6" i="16"/>
  <c r="E6" i="16"/>
  <c r="F6" i="16"/>
  <c r="G6" i="16"/>
  <c r="C7" i="16"/>
  <c r="B7" i="16"/>
  <c r="B6" i="16"/>
  <c r="E8" i="15"/>
  <c r="F8" i="15"/>
  <c r="C6" i="15"/>
  <c r="D6" i="15"/>
  <c r="D8" i="15" s="1"/>
  <c r="E6" i="15"/>
  <c r="F6" i="15"/>
  <c r="G6" i="15"/>
  <c r="C7" i="15"/>
  <c r="D7" i="15"/>
  <c r="E7" i="15"/>
  <c r="F7" i="15"/>
  <c r="G7" i="15"/>
  <c r="G8" i="15" s="1"/>
  <c r="B7" i="15"/>
  <c r="B6" i="15"/>
  <c r="E8" i="14"/>
  <c r="C6" i="14"/>
  <c r="D6" i="14"/>
  <c r="D8" i="14" s="1"/>
  <c r="E6" i="14"/>
  <c r="F6" i="14"/>
  <c r="F8" i="14" s="1"/>
  <c r="G6" i="14"/>
  <c r="C7" i="14"/>
  <c r="C8" i="14" s="1"/>
  <c r="D7" i="14"/>
  <c r="E7" i="14"/>
  <c r="F7" i="14"/>
  <c r="G7" i="14"/>
  <c r="B7" i="14"/>
  <c r="B6" i="14"/>
  <c r="F8" i="13"/>
  <c r="F9" i="13" s="1"/>
  <c r="C6" i="13"/>
  <c r="D6" i="13"/>
  <c r="D8" i="13" s="1"/>
  <c r="D9" i="13" s="1"/>
  <c r="E6" i="13"/>
  <c r="F6" i="13"/>
  <c r="G6" i="13"/>
  <c r="C7" i="13"/>
  <c r="C8" i="13" s="1"/>
  <c r="C9" i="13" s="1"/>
  <c r="D7" i="13"/>
  <c r="E7" i="13"/>
  <c r="F7" i="13"/>
  <c r="G7" i="13"/>
  <c r="G8" i="13" s="1"/>
  <c r="G9" i="13" s="1"/>
  <c r="B7" i="13"/>
  <c r="B6" i="13"/>
  <c r="D11" i="12"/>
  <c r="F11" i="12"/>
  <c r="C9" i="12"/>
  <c r="C11" i="12" s="1"/>
  <c r="D9" i="12"/>
  <c r="E9" i="12"/>
  <c r="F9" i="12"/>
  <c r="G9" i="12"/>
  <c r="G11" i="12" s="1"/>
  <c r="C10" i="12"/>
  <c r="D10" i="12"/>
  <c r="E10" i="12"/>
  <c r="E11" i="12" s="1"/>
  <c r="F10" i="12"/>
  <c r="G10" i="12"/>
  <c r="B10" i="12"/>
  <c r="B9" i="12"/>
  <c r="G8" i="12"/>
  <c r="G12" i="12" s="1"/>
  <c r="C6" i="12"/>
  <c r="C8" i="12" s="1"/>
  <c r="C12" i="12" s="1"/>
  <c r="D6" i="12"/>
  <c r="E6" i="12"/>
  <c r="E8" i="12" s="1"/>
  <c r="F6" i="12"/>
  <c r="G6" i="12"/>
  <c r="C7" i="12"/>
  <c r="D7" i="12"/>
  <c r="D8" i="12" s="1"/>
  <c r="D12" i="12" s="1"/>
  <c r="E7" i="12"/>
  <c r="F7" i="12"/>
  <c r="G7" i="12"/>
  <c r="B7" i="12"/>
  <c r="B6" i="12"/>
  <c r="C6" i="11"/>
  <c r="C7" i="11"/>
  <c r="C8" i="11" s="1"/>
  <c r="D7" i="11"/>
  <c r="E7" i="11"/>
  <c r="F7" i="11"/>
  <c r="G7" i="11"/>
  <c r="B7" i="11"/>
  <c r="B6" i="11"/>
  <c r="F8" i="10"/>
  <c r="C6" i="10"/>
  <c r="C8" i="10" s="1"/>
  <c r="D6" i="10"/>
  <c r="E6" i="10"/>
  <c r="E8" i="10" s="1"/>
  <c r="F6" i="10"/>
  <c r="G6" i="10"/>
  <c r="G8" i="10" s="1"/>
  <c r="C7" i="10"/>
  <c r="D7" i="10"/>
  <c r="E7" i="10"/>
  <c r="F7" i="10"/>
  <c r="G7" i="10"/>
  <c r="B7" i="10"/>
  <c r="B6" i="10"/>
  <c r="D8" i="9"/>
  <c r="E8" i="9"/>
  <c r="C6" i="9"/>
  <c r="C8" i="9" s="1"/>
  <c r="D6" i="9"/>
  <c r="E6" i="9"/>
  <c r="F6" i="9"/>
  <c r="G6" i="9"/>
  <c r="G8" i="9" s="1"/>
  <c r="C7" i="9"/>
  <c r="D7" i="9"/>
  <c r="E7" i="9"/>
  <c r="F7" i="9"/>
  <c r="F8" i="9" s="1"/>
  <c r="G7" i="9"/>
  <c r="B7" i="9"/>
  <c r="B6" i="9"/>
  <c r="D156" i="8"/>
  <c r="F156" i="8"/>
  <c r="G156" i="8"/>
  <c r="C154" i="8"/>
  <c r="D154" i="8"/>
  <c r="E154" i="8"/>
  <c r="E156" i="8" s="1"/>
  <c r="F154" i="8"/>
  <c r="G154" i="8"/>
  <c r="C155" i="8"/>
  <c r="C156" i="8" s="1"/>
  <c r="D155" i="8"/>
  <c r="E155" i="8"/>
  <c r="F155" i="8"/>
  <c r="G155" i="8"/>
  <c r="B155" i="8"/>
  <c r="B154" i="8"/>
  <c r="C150" i="8"/>
  <c r="D150" i="8"/>
  <c r="D152" i="8" s="1"/>
  <c r="E150" i="8"/>
  <c r="F150" i="8"/>
  <c r="F152" i="8" s="1"/>
  <c r="F153" i="8" s="1"/>
  <c r="G150" i="8"/>
  <c r="C151" i="8"/>
  <c r="C152" i="8" s="1"/>
  <c r="C153" i="8" s="1"/>
  <c r="D151" i="8"/>
  <c r="E151" i="8"/>
  <c r="E152" i="8" s="1"/>
  <c r="F151" i="8"/>
  <c r="G151" i="8"/>
  <c r="B151" i="8"/>
  <c r="B150" i="8"/>
  <c r="G149" i="8"/>
  <c r="C149" i="8"/>
  <c r="C147" i="8"/>
  <c r="D147" i="8"/>
  <c r="E147" i="8"/>
  <c r="F147" i="8"/>
  <c r="F149" i="8" s="1"/>
  <c r="G147" i="8"/>
  <c r="C148" i="8"/>
  <c r="D148" i="8"/>
  <c r="D149" i="8" s="1"/>
  <c r="E148" i="8"/>
  <c r="E149" i="8" s="1"/>
  <c r="F148" i="8"/>
  <c r="G148" i="8"/>
  <c r="B148" i="8"/>
  <c r="B147" i="8"/>
  <c r="F143" i="8"/>
  <c r="F144" i="8" s="1"/>
  <c r="C141" i="8"/>
  <c r="C143" i="8" s="1"/>
  <c r="C144" i="8" s="1"/>
  <c r="D141" i="8"/>
  <c r="E141" i="8"/>
  <c r="E143" i="8" s="1"/>
  <c r="F141" i="8"/>
  <c r="G141" i="8"/>
  <c r="G143" i="8" s="1"/>
  <c r="G144" i="8" s="1"/>
  <c r="C142" i="8"/>
  <c r="D142" i="8"/>
  <c r="E142" i="8"/>
  <c r="F142" i="8"/>
  <c r="G142" i="8"/>
  <c r="B142" i="8"/>
  <c r="B141" i="8"/>
  <c r="D140" i="8"/>
  <c r="F140" i="8"/>
  <c r="C138" i="8"/>
  <c r="C140" i="8" s="1"/>
  <c r="D138" i="8"/>
  <c r="E138" i="8"/>
  <c r="F138" i="8"/>
  <c r="G138" i="8"/>
  <c r="G140" i="8" s="1"/>
  <c r="C139" i="8"/>
  <c r="D139" i="8"/>
  <c r="E139" i="8"/>
  <c r="E140" i="8" s="1"/>
  <c r="F139" i="8"/>
  <c r="G139" i="8"/>
  <c r="B139" i="8"/>
  <c r="B138" i="8"/>
  <c r="G135" i="8"/>
  <c r="C133" i="8"/>
  <c r="C135" i="8" s="1"/>
  <c r="D133" i="8"/>
  <c r="E133" i="8"/>
  <c r="E135" i="8" s="1"/>
  <c r="F133" i="8"/>
  <c r="G133" i="8"/>
  <c r="C134" i="8"/>
  <c r="D134" i="8"/>
  <c r="D135" i="8" s="1"/>
  <c r="E134" i="8"/>
  <c r="F134" i="8"/>
  <c r="G134" i="8"/>
  <c r="B134" i="8"/>
  <c r="B133" i="8"/>
  <c r="G130" i="8"/>
  <c r="C130" i="8"/>
  <c r="C128" i="8"/>
  <c r="D128" i="8"/>
  <c r="E128" i="8"/>
  <c r="E130" i="8" s="1"/>
  <c r="F128" i="8"/>
  <c r="F130" i="8" s="1"/>
  <c r="G128" i="8"/>
  <c r="C129" i="8"/>
  <c r="D129" i="8"/>
  <c r="D130" i="8" s="1"/>
  <c r="E129" i="8"/>
  <c r="F129" i="8"/>
  <c r="G129" i="8"/>
  <c r="B129" i="8"/>
  <c r="B128" i="8"/>
  <c r="E125" i="8"/>
  <c r="C123" i="8"/>
  <c r="D123" i="8"/>
  <c r="D125" i="8" s="1"/>
  <c r="E123" i="8"/>
  <c r="F123" i="8"/>
  <c r="G123" i="8"/>
  <c r="C124" i="8"/>
  <c r="D124" i="8"/>
  <c r="E124" i="8"/>
  <c r="F124" i="8"/>
  <c r="F125" i="8" s="1"/>
  <c r="G124" i="8"/>
  <c r="G125" i="8" s="1"/>
  <c r="B124" i="8"/>
  <c r="B123" i="8"/>
  <c r="E120" i="8"/>
  <c r="C120" i="8"/>
  <c r="C118" i="8"/>
  <c r="D118" i="8"/>
  <c r="D120" i="8" s="1"/>
  <c r="E118" i="8"/>
  <c r="F118" i="8"/>
  <c r="F120" i="8" s="1"/>
  <c r="G118" i="8"/>
  <c r="C119" i="8"/>
  <c r="D119" i="8"/>
  <c r="E119" i="8"/>
  <c r="F119" i="8"/>
  <c r="G119" i="8"/>
  <c r="B119" i="8"/>
  <c r="B118" i="8"/>
  <c r="D115" i="8"/>
  <c r="C115" i="8"/>
  <c r="C113" i="8"/>
  <c r="D113" i="8"/>
  <c r="E113" i="8"/>
  <c r="F113" i="8"/>
  <c r="F115" i="8" s="1"/>
  <c r="G113" i="8"/>
  <c r="G115" i="8" s="1"/>
  <c r="C114" i="8"/>
  <c r="D114" i="8"/>
  <c r="E114" i="8"/>
  <c r="E115" i="8" s="1"/>
  <c r="F114" i="8"/>
  <c r="G114" i="8"/>
  <c r="B114" i="8"/>
  <c r="B113" i="8"/>
  <c r="C108" i="8"/>
  <c r="D108" i="8"/>
  <c r="D110" i="8" s="1"/>
  <c r="E108" i="8"/>
  <c r="F108" i="8"/>
  <c r="F110" i="8" s="1"/>
  <c r="G108" i="8"/>
  <c r="C109" i="8"/>
  <c r="C110" i="8" s="1"/>
  <c r="D109" i="8"/>
  <c r="E109" i="8"/>
  <c r="F109" i="8"/>
  <c r="G109" i="8"/>
  <c r="G110" i="8" s="1"/>
  <c r="B109" i="8"/>
  <c r="B108" i="8"/>
  <c r="C103" i="8"/>
  <c r="C105" i="8" s="1"/>
  <c r="D103" i="8"/>
  <c r="E103" i="8"/>
  <c r="E105" i="8" s="1"/>
  <c r="F103" i="8"/>
  <c r="G103" i="8"/>
  <c r="G105" i="8" s="1"/>
  <c r="C104" i="8"/>
  <c r="D104" i="8"/>
  <c r="E104" i="8"/>
  <c r="F104" i="8"/>
  <c r="F105" i="8" s="1"/>
  <c r="G104" i="8"/>
  <c r="B104" i="8"/>
  <c r="B103" i="8"/>
  <c r="C98" i="8"/>
  <c r="C100" i="8" s="1"/>
  <c r="D98" i="8"/>
  <c r="E98" i="8"/>
  <c r="F98" i="8"/>
  <c r="G98" i="8"/>
  <c r="C99" i="8"/>
  <c r="B99" i="8"/>
  <c r="B98" i="8"/>
  <c r="C95" i="8"/>
  <c r="C93" i="8"/>
  <c r="B93" i="8"/>
  <c r="C88" i="8"/>
  <c r="C90" i="8" s="1"/>
  <c r="C89" i="8"/>
  <c r="D89" i="8"/>
  <c r="E89" i="8"/>
  <c r="F89" i="8"/>
  <c r="G89" i="8"/>
  <c r="B89" i="8"/>
  <c r="B88" i="8"/>
  <c r="F85" i="8"/>
  <c r="C85" i="8"/>
  <c r="C83" i="8"/>
  <c r="D83" i="8"/>
  <c r="D85" i="8" s="1"/>
  <c r="E83" i="8"/>
  <c r="F83" i="8"/>
  <c r="G83" i="8"/>
  <c r="G85" i="8" s="1"/>
  <c r="C84" i="8"/>
  <c r="D84" i="8"/>
  <c r="E84" i="8"/>
  <c r="E85" i="8" s="1"/>
  <c r="F84" i="8"/>
  <c r="G84" i="8"/>
  <c r="B84" i="8"/>
  <c r="B83" i="8"/>
  <c r="C78" i="8"/>
  <c r="C80" i="8" s="1"/>
  <c r="D78" i="8"/>
  <c r="E78" i="8"/>
  <c r="E80" i="8" s="1"/>
  <c r="F78" i="8"/>
  <c r="G78" i="8"/>
  <c r="G80" i="8" s="1"/>
  <c r="C79" i="8"/>
  <c r="D79" i="8"/>
  <c r="D80" i="8" s="1"/>
  <c r="E79" i="8"/>
  <c r="F79" i="8"/>
  <c r="G79" i="8"/>
  <c r="B79" i="8"/>
  <c r="B78" i="8"/>
  <c r="C72" i="8"/>
  <c r="C73" i="8"/>
  <c r="C75" i="8" s="1"/>
  <c r="D73" i="8"/>
  <c r="E73" i="8"/>
  <c r="F73" i="8"/>
  <c r="G73" i="8"/>
  <c r="C74" i="8"/>
  <c r="D74" i="8"/>
  <c r="E74" i="8"/>
  <c r="F74" i="8"/>
  <c r="G74" i="8"/>
  <c r="B74" i="8"/>
  <c r="B73" i="8"/>
  <c r="B72" i="8"/>
  <c r="C67" i="8"/>
  <c r="C69" i="8" s="1"/>
  <c r="C68" i="8"/>
  <c r="D68" i="8"/>
  <c r="E68" i="8"/>
  <c r="F68" i="8"/>
  <c r="G68" i="8"/>
  <c r="B68" i="8"/>
  <c r="B67" i="8"/>
  <c r="C64" i="8"/>
  <c r="C62" i="8"/>
  <c r="D62" i="8"/>
  <c r="E62" i="8"/>
  <c r="F62" i="8"/>
  <c r="G62" i="8"/>
  <c r="C63" i="8"/>
  <c r="B63" i="8"/>
  <c r="B62" i="8"/>
  <c r="C57" i="8"/>
  <c r="C59" i="8" s="1"/>
  <c r="D57" i="8"/>
  <c r="E57" i="8"/>
  <c r="F57" i="8"/>
  <c r="G57" i="8"/>
  <c r="C58" i="8"/>
  <c r="B58" i="8"/>
  <c r="B57" i="8"/>
  <c r="C51" i="8"/>
  <c r="D51" i="8"/>
  <c r="D54" i="8" s="1"/>
  <c r="E51" i="8"/>
  <c r="F51" i="8"/>
  <c r="F54" i="8" s="1"/>
  <c r="G51" i="8"/>
  <c r="C52" i="8"/>
  <c r="C54" i="8" s="1"/>
  <c r="D52" i="8"/>
  <c r="E52" i="8"/>
  <c r="E54" i="8" s="1"/>
  <c r="F52" i="8"/>
  <c r="G52" i="8"/>
  <c r="C53" i="8"/>
  <c r="B53" i="8"/>
  <c r="B52" i="8"/>
  <c r="B51" i="8"/>
  <c r="C46" i="8"/>
  <c r="D46" i="8"/>
  <c r="E46" i="8"/>
  <c r="F46" i="8"/>
  <c r="G46" i="8"/>
  <c r="C47" i="8"/>
  <c r="B47" i="8"/>
  <c r="B46" i="8"/>
  <c r="D43" i="8"/>
  <c r="F43" i="8"/>
  <c r="C41" i="8"/>
  <c r="C43" i="8" s="1"/>
  <c r="D41" i="8"/>
  <c r="E41" i="8"/>
  <c r="F41" i="8"/>
  <c r="G41" i="8"/>
  <c r="G43" i="8" s="1"/>
  <c r="C42" i="8"/>
  <c r="D42" i="8"/>
  <c r="E42" i="8"/>
  <c r="E43" i="8" s="1"/>
  <c r="F42" i="8"/>
  <c r="G42" i="8"/>
  <c r="B42" i="8"/>
  <c r="B41" i="8"/>
  <c r="G38" i="8"/>
  <c r="C36" i="8"/>
  <c r="C38" i="8" s="1"/>
  <c r="D36" i="8"/>
  <c r="E36" i="8"/>
  <c r="E38" i="8" s="1"/>
  <c r="F36" i="8"/>
  <c r="G36" i="8"/>
  <c r="C37" i="8"/>
  <c r="D37" i="8"/>
  <c r="D38" i="8" s="1"/>
  <c r="E37" i="8"/>
  <c r="F37" i="8"/>
  <c r="G37" i="8"/>
  <c r="B37" i="8"/>
  <c r="B36" i="8"/>
  <c r="E32" i="8"/>
  <c r="E33" i="8" s="1"/>
  <c r="G32" i="8"/>
  <c r="G33" i="8" s="1"/>
  <c r="C30" i="8"/>
  <c r="D30" i="8"/>
  <c r="D32" i="8" s="1"/>
  <c r="D33" i="8" s="1"/>
  <c r="E30" i="8"/>
  <c r="F30" i="8"/>
  <c r="G30" i="8"/>
  <c r="C31" i="8"/>
  <c r="D31" i="8"/>
  <c r="E31" i="8"/>
  <c r="F31" i="8"/>
  <c r="F32" i="8" s="1"/>
  <c r="F33" i="8" s="1"/>
  <c r="G31" i="8"/>
  <c r="B31" i="8"/>
  <c r="B30" i="8"/>
  <c r="D26" i="8"/>
  <c r="C26" i="8"/>
  <c r="C24" i="8"/>
  <c r="D24" i="8"/>
  <c r="E24" i="8"/>
  <c r="F24" i="8"/>
  <c r="F26" i="8" s="1"/>
  <c r="G24" i="8"/>
  <c r="G26" i="8" s="1"/>
  <c r="C25" i="8"/>
  <c r="D25" i="8"/>
  <c r="E25" i="8"/>
  <c r="E26" i="8" s="1"/>
  <c r="F25" i="8"/>
  <c r="G25" i="8"/>
  <c r="B25" i="8"/>
  <c r="B24" i="8"/>
  <c r="C23" i="8"/>
  <c r="C27" i="8" s="1"/>
  <c r="C21" i="8"/>
  <c r="D21" i="8"/>
  <c r="D23" i="8" s="1"/>
  <c r="D27" i="8" s="1"/>
  <c r="E21" i="8"/>
  <c r="F21" i="8"/>
  <c r="F23" i="8" s="1"/>
  <c r="F27" i="8" s="1"/>
  <c r="G21" i="8"/>
  <c r="C22" i="8"/>
  <c r="D22" i="8"/>
  <c r="E22" i="8"/>
  <c r="F22" i="8"/>
  <c r="G22" i="8"/>
  <c r="G23" i="8" s="1"/>
  <c r="B22" i="8"/>
  <c r="B21" i="8"/>
  <c r="C16" i="8"/>
  <c r="C17" i="8"/>
  <c r="D17" i="8"/>
  <c r="E17" i="8"/>
  <c r="F17" i="8"/>
  <c r="G17" i="8"/>
  <c r="B17" i="8"/>
  <c r="B16" i="8"/>
  <c r="E13" i="8"/>
  <c r="C11" i="8"/>
  <c r="D11" i="8"/>
  <c r="D13" i="8" s="1"/>
  <c r="E11" i="8"/>
  <c r="F11" i="8"/>
  <c r="F13" i="8" s="1"/>
  <c r="G11" i="8"/>
  <c r="C12" i="8"/>
  <c r="C13" i="8" s="1"/>
  <c r="D12" i="8"/>
  <c r="E12" i="8"/>
  <c r="F12" i="8"/>
  <c r="G12" i="8"/>
  <c r="B12" i="8"/>
  <c r="B11" i="8"/>
  <c r="E8" i="8"/>
  <c r="G8" i="8"/>
  <c r="C8" i="8"/>
  <c r="C6" i="8"/>
  <c r="D6" i="8"/>
  <c r="E6" i="8"/>
  <c r="F6" i="8"/>
  <c r="F8" i="8" s="1"/>
  <c r="G6" i="8"/>
  <c r="C7" i="8"/>
  <c r="D7" i="8"/>
  <c r="D8" i="8" s="1"/>
  <c r="E7" i="8"/>
  <c r="F7" i="8"/>
  <c r="G7" i="8"/>
  <c r="B7" i="8"/>
  <c r="B6" i="8"/>
  <c r="D56" i="7"/>
  <c r="E56" i="7"/>
  <c r="F56" i="7"/>
  <c r="G56" i="7"/>
  <c r="C56" i="7"/>
  <c r="D54" i="7"/>
  <c r="E54" i="7"/>
  <c r="F54" i="7"/>
  <c r="G54" i="7"/>
  <c r="C54" i="7"/>
  <c r="D52" i="7"/>
  <c r="E52" i="7"/>
  <c r="F52" i="7"/>
  <c r="G52" i="7"/>
  <c r="C52" i="7"/>
  <c r="D50" i="7"/>
  <c r="E50" i="7"/>
  <c r="F50" i="7"/>
  <c r="G50" i="7"/>
  <c r="C50" i="7"/>
  <c r="D48" i="7"/>
  <c r="E48" i="7"/>
  <c r="F48" i="7"/>
  <c r="G48" i="7"/>
  <c r="C48" i="7"/>
  <c r="D46" i="7"/>
  <c r="E46" i="7"/>
  <c r="F46" i="7"/>
  <c r="G46" i="7"/>
  <c r="C46" i="7"/>
  <c r="D44" i="7"/>
  <c r="E44" i="7"/>
  <c r="F44" i="7"/>
  <c r="G44" i="7"/>
  <c r="C44" i="7"/>
  <c r="D42" i="7"/>
  <c r="E42" i="7"/>
  <c r="F42" i="7"/>
  <c r="G42" i="7"/>
  <c r="C42" i="7"/>
  <c r="D40" i="7"/>
  <c r="E40" i="7"/>
  <c r="F40" i="7"/>
  <c r="G40" i="7"/>
  <c r="C40" i="7"/>
  <c r="D38" i="7"/>
  <c r="E38" i="7"/>
  <c r="F38" i="7"/>
  <c r="G38" i="7"/>
  <c r="C38" i="7"/>
  <c r="D36" i="7"/>
  <c r="E36" i="7"/>
  <c r="F36" i="7"/>
  <c r="G36" i="7"/>
  <c r="C36" i="7"/>
  <c r="D34" i="7"/>
  <c r="E34" i="7"/>
  <c r="F34" i="7"/>
  <c r="G34" i="7"/>
  <c r="C34" i="7"/>
  <c r="D32" i="7"/>
  <c r="E32" i="7"/>
  <c r="F32" i="7"/>
  <c r="G32" i="7"/>
  <c r="C32" i="7"/>
  <c r="D30" i="7"/>
  <c r="E30" i="7"/>
  <c r="F30" i="7"/>
  <c r="G30" i="7"/>
  <c r="C30" i="7"/>
  <c r="D28" i="7"/>
  <c r="E28" i="7"/>
  <c r="F28" i="7"/>
  <c r="G28" i="7"/>
  <c r="C28" i="7"/>
  <c r="D26" i="7"/>
  <c r="E26" i="7"/>
  <c r="F26" i="7"/>
  <c r="G26" i="7"/>
  <c r="C26" i="7"/>
  <c r="D24" i="7"/>
  <c r="E24" i="7"/>
  <c r="F24" i="7"/>
  <c r="G24" i="7"/>
  <c r="C24" i="7"/>
  <c r="D22" i="7"/>
  <c r="E22" i="7"/>
  <c r="F22" i="7"/>
  <c r="G22" i="7"/>
  <c r="C22" i="7"/>
  <c r="D20" i="7"/>
  <c r="E20" i="7"/>
  <c r="F20" i="7"/>
  <c r="G20" i="7"/>
  <c r="C20" i="7"/>
  <c r="D18" i="7"/>
  <c r="E18" i="7"/>
  <c r="F18" i="7"/>
  <c r="G18" i="7"/>
  <c r="C18" i="7"/>
  <c r="D16" i="7"/>
  <c r="E16" i="7"/>
  <c r="F16" i="7"/>
  <c r="G16" i="7"/>
  <c r="C16" i="7"/>
  <c r="D14" i="7"/>
  <c r="E14" i="7"/>
  <c r="F14" i="7"/>
  <c r="G14" i="7"/>
  <c r="C14" i="7"/>
  <c r="D12" i="7"/>
  <c r="E12" i="7"/>
  <c r="F12" i="7"/>
  <c r="G12" i="7"/>
  <c r="C12" i="7"/>
  <c r="D10" i="7"/>
  <c r="E10" i="7"/>
  <c r="F10" i="7"/>
  <c r="G10" i="7"/>
  <c r="C10" i="7"/>
  <c r="D8" i="7"/>
  <c r="E8" i="7"/>
  <c r="F8" i="7"/>
  <c r="G8" i="7"/>
  <c r="C8" i="7"/>
  <c r="D6" i="7"/>
  <c r="E6" i="7"/>
  <c r="F6" i="7"/>
  <c r="G6" i="7"/>
  <c r="C6" i="7"/>
  <c r="G25" i="7"/>
  <c r="F25" i="7"/>
  <c r="E25" i="7"/>
  <c r="D25" i="7"/>
  <c r="C25" i="7"/>
  <c r="D15" i="7"/>
  <c r="D27" i="7" s="1"/>
  <c r="D29" i="7" s="1"/>
  <c r="D33" i="7" s="1"/>
  <c r="D37" i="7" s="1"/>
  <c r="D41" i="7" s="1"/>
  <c r="D45" i="7" s="1"/>
  <c r="D49" i="7" s="1"/>
  <c r="G9" i="7"/>
  <c r="F9" i="7"/>
  <c r="E9" i="7"/>
  <c r="E15" i="7" s="1"/>
  <c r="E27" i="7" s="1"/>
  <c r="E29" i="7" s="1"/>
  <c r="E33" i="7" s="1"/>
  <c r="E37" i="7" s="1"/>
  <c r="E41" i="7" s="1"/>
  <c r="E45" i="7" s="1"/>
  <c r="E49" i="7" s="1"/>
  <c r="D9" i="7"/>
  <c r="C9" i="7"/>
  <c r="C75" i="6"/>
  <c r="C71" i="6"/>
  <c r="C69" i="6"/>
  <c r="C67" i="6"/>
  <c r="C65" i="6"/>
  <c r="C63" i="6"/>
  <c r="C61" i="6"/>
  <c r="C59" i="6"/>
  <c r="C57" i="6"/>
  <c r="C55" i="6"/>
  <c r="C53" i="6"/>
  <c r="C51" i="6"/>
  <c r="C49" i="6"/>
  <c r="C47" i="6"/>
  <c r="C45" i="6"/>
  <c r="C43" i="6"/>
  <c r="C41" i="6"/>
  <c r="C36" i="6"/>
  <c r="C34" i="6"/>
  <c r="C32" i="6"/>
  <c r="C30" i="6"/>
  <c r="C28" i="6"/>
  <c r="C26" i="6"/>
  <c r="C24" i="6"/>
  <c r="C20" i="6"/>
  <c r="C18" i="6"/>
  <c r="C16" i="6"/>
  <c r="C14" i="6"/>
  <c r="C12" i="6"/>
  <c r="C10" i="6"/>
  <c r="C8" i="6"/>
  <c r="C6" i="6"/>
  <c r="C72" i="6"/>
  <c r="C73" i="6" s="1"/>
  <c r="C46" i="6"/>
  <c r="C54" i="6" s="1"/>
  <c r="C74" i="6" s="1"/>
  <c r="D44" i="6"/>
  <c r="D46" i="6" s="1"/>
  <c r="D54" i="6" s="1"/>
  <c r="G33" i="6"/>
  <c r="F33" i="6"/>
  <c r="E33" i="6"/>
  <c r="D33" i="6"/>
  <c r="C33" i="6"/>
  <c r="G21" i="6"/>
  <c r="F21" i="6"/>
  <c r="E21" i="6"/>
  <c r="D21" i="6"/>
  <c r="C21" i="6"/>
  <c r="C22" i="6" s="1"/>
  <c r="C13" i="6"/>
  <c r="D11" i="6"/>
  <c r="E11" i="6" s="1"/>
  <c r="G9" i="6"/>
  <c r="F9" i="6"/>
  <c r="E9" i="6"/>
  <c r="D9" i="6"/>
  <c r="C9" i="6"/>
  <c r="E8" i="4"/>
  <c r="F8" i="4" s="1"/>
  <c r="D8" i="4"/>
  <c r="D25" i="4"/>
  <c r="E25" i="4" s="1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E47" i="5" s="1"/>
  <c r="F38" i="5"/>
  <c r="G38" i="5"/>
  <c r="G47" i="5" s="1"/>
  <c r="D38" i="5"/>
  <c r="B38" i="5"/>
  <c r="E37" i="5"/>
  <c r="F37" i="5"/>
  <c r="F47" i="5" s="1"/>
  <c r="G37" i="5"/>
  <c r="D37" i="5"/>
  <c r="D47" i="5" s="1"/>
  <c r="B37" i="5"/>
  <c r="E34" i="5"/>
  <c r="F34" i="5"/>
  <c r="G34" i="5"/>
  <c r="D34" i="5"/>
  <c r="E33" i="5"/>
  <c r="F33" i="5"/>
  <c r="G33" i="5"/>
  <c r="D33" i="5"/>
  <c r="B33" i="5"/>
  <c r="E32" i="5"/>
  <c r="F32" i="5"/>
  <c r="G32" i="5"/>
  <c r="D32" i="5"/>
  <c r="B32" i="5"/>
  <c r="E31" i="5"/>
  <c r="F31" i="5"/>
  <c r="G31" i="5"/>
  <c r="D31" i="5"/>
  <c r="B31" i="5"/>
  <c r="E30" i="5"/>
  <c r="E35" i="5" s="1"/>
  <c r="F30" i="5"/>
  <c r="G30" i="5"/>
  <c r="G35" i="5" s="1"/>
  <c r="D30" i="5"/>
  <c r="B30" i="5"/>
  <c r="E29" i="5"/>
  <c r="F29" i="5"/>
  <c r="F35" i="5" s="1"/>
  <c r="G29" i="5"/>
  <c r="D29" i="5"/>
  <c r="B29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E27" i="5" s="1"/>
  <c r="F12" i="5"/>
  <c r="G12" i="5"/>
  <c r="G27" i="5" s="1"/>
  <c r="G48" i="5" s="1"/>
  <c r="D12" i="5"/>
  <c r="B12" i="5"/>
  <c r="E9" i="5"/>
  <c r="F9" i="5"/>
  <c r="G9" i="5"/>
  <c r="D9" i="5"/>
  <c r="E8" i="5"/>
  <c r="F8" i="5"/>
  <c r="G8" i="5"/>
  <c r="D8" i="5"/>
  <c r="E7" i="5"/>
  <c r="E10" i="5" s="1"/>
  <c r="F7" i="5"/>
  <c r="F10" i="5" s="1"/>
  <c r="G7" i="5"/>
  <c r="G10" i="5" s="1"/>
  <c r="D7" i="5"/>
  <c r="D10" i="5" s="1"/>
  <c r="E5" i="5"/>
  <c r="F5" i="5"/>
  <c r="G5" i="5"/>
  <c r="D5" i="5"/>
  <c r="D19" i="4"/>
  <c r="E19" i="4"/>
  <c r="F19" i="4"/>
  <c r="G19" i="4"/>
  <c r="D13" i="4"/>
  <c r="E13" i="4"/>
  <c r="F13" i="4"/>
  <c r="G13" i="4"/>
  <c r="D9" i="4"/>
  <c r="D16" i="8" s="1"/>
  <c r="D18" i="8" s="1"/>
  <c r="D7" i="4"/>
  <c r="E7" i="4"/>
  <c r="F7" i="4"/>
  <c r="G7" i="4"/>
  <c r="C39" i="4"/>
  <c r="C30" i="4"/>
  <c r="C40" i="4" s="1"/>
  <c r="C26" i="4"/>
  <c r="C21" i="4"/>
  <c r="C19" i="4"/>
  <c r="C13" i="4"/>
  <c r="C9" i="4"/>
  <c r="C7" i="4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F27" i="5" l="1"/>
  <c r="F48" i="5" s="1"/>
  <c r="D157" i="8"/>
  <c r="C16" i="35"/>
  <c r="F25" i="4"/>
  <c r="E26" i="4"/>
  <c r="E30" i="4" s="1"/>
  <c r="E6" i="44" s="1"/>
  <c r="E48" i="5"/>
  <c r="G27" i="8"/>
  <c r="D27" i="5"/>
  <c r="E153" i="8"/>
  <c r="D35" i="5"/>
  <c r="D48" i="5" s="1"/>
  <c r="D53" i="8"/>
  <c r="D153" i="8"/>
  <c r="C157" i="8"/>
  <c r="E9" i="4"/>
  <c r="D26" i="4"/>
  <c r="D30" i="4" s="1"/>
  <c r="D6" i="44" s="1"/>
  <c r="C37" i="6"/>
  <c r="C38" i="6" s="1"/>
  <c r="C32" i="8"/>
  <c r="C33" i="8" s="1"/>
  <c r="F38" i="8"/>
  <c r="E144" i="8"/>
  <c r="E12" i="34"/>
  <c r="F16" i="35"/>
  <c r="D21" i="4"/>
  <c r="D5" i="36"/>
  <c r="D8" i="17"/>
  <c r="D6" i="11"/>
  <c r="D8" i="11" s="1"/>
  <c r="D7" i="19"/>
  <c r="D8" i="19" s="1"/>
  <c r="D63" i="8"/>
  <c r="D64" i="8" s="1"/>
  <c r="C18" i="8"/>
  <c r="D58" i="8"/>
  <c r="D59" i="8" s="1"/>
  <c r="D7" i="18"/>
  <c r="D8" i="18" s="1"/>
  <c r="F12" i="35"/>
  <c r="G13" i="8"/>
  <c r="E23" i="8"/>
  <c r="E27" i="8" s="1"/>
  <c r="C48" i="8"/>
  <c r="G54" i="8"/>
  <c r="F80" i="8"/>
  <c r="E157" i="8"/>
  <c r="E12" i="12"/>
  <c r="C8" i="20"/>
  <c r="C12" i="34"/>
  <c r="G12" i="35"/>
  <c r="D105" i="8"/>
  <c r="G120" i="8"/>
  <c r="C125" i="8"/>
  <c r="F135" i="8"/>
  <c r="F157" i="8"/>
  <c r="D8" i="10"/>
  <c r="F8" i="12"/>
  <c r="F12" i="12" s="1"/>
  <c r="E8" i="13"/>
  <c r="E9" i="13" s="1"/>
  <c r="D9" i="17"/>
  <c r="F8" i="27"/>
  <c r="E8" i="30"/>
  <c r="D8" i="35"/>
  <c r="D12" i="35" s="1"/>
  <c r="D16" i="35" s="1"/>
  <c r="G15" i="35"/>
  <c r="E110" i="8"/>
  <c r="D143" i="8"/>
  <c r="D144" i="8" s="1"/>
  <c r="G152" i="8"/>
  <c r="G153" i="8" s="1"/>
  <c r="G157" i="8" s="1"/>
  <c r="G8" i="14"/>
  <c r="C8" i="15"/>
  <c r="G8" i="22"/>
  <c r="C8" i="23"/>
  <c r="D8" i="29"/>
  <c r="G8" i="32"/>
  <c r="C8" i="33"/>
  <c r="F11" i="34"/>
  <c r="F12" i="34" s="1"/>
  <c r="E11" i="35"/>
  <c r="E12" i="35" s="1"/>
  <c r="E16" i="35" s="1"/>
  <c r="G15" i="7"/>
  <c r="G27" i="7" s="1"/>
  <c r="G29" i="7" s="1"/>
  <c r="G33" i="7" s="1"/>
  <c r="G37" i="7" s="1"/>
  <c r="G41" i="7" s="1"/>
  <c r="G45" i="7" s="1"/>
  <c r="G49" i="7" s="1"/>
  <c r="F15" i="7"/>
  <c r="F27" i="7" s="1"/>
  <c r="F29" i="7" s="1"/>
  <c r="F33" i="7" s="1"/>
  <c r="F37" i="7" s="1"/>
  <c r="F41" i="7" s="1"/>
  <c r="F45" i="7" s="1"/>
  <c r="F49" i="7" s="1"/>
  <c r="F55" i="7" s="1"/>
  <c r="C15" i="7"/>
  <c r="C27" i="7" s="1"/>
  <c r="C29" i="7" s="1"/>
  <c r="C33" i="7" s="1"/>
  <c r="C37" i="7" s="1"/>
  <c r="C41" i="7" s="1"/>
  <c r="C45" i="7" s="1"/>
  <c r="C49" i="7" s="1"/>
  <c r="C61" i="7" s="1"/>
  <c r="D55" i="7"/>
  <c r="D61" i="7"/>
  <c r="G61" i="7"/>
  <c r="G55" i="7"/>
  <c r="E61" i="7"/>
  <c r="E55" i="7"/>
  <c r="D13" i="6"/>
  <c r="D37" i="6" s="1"/>
  <c r="F11" i="6"/>
  <c r="E13" i="6"/>
  <c r="E44" i="6"/>
  <c r="F9" i="4"/>
  <c r="G8" i="4"/>
  <c r="G9" i="4" s="1"/>
  <c r="D5" i="42" l="1"/>
  <c r="D6" i="36"/>
  <c r="D5" i="43"/>
  <c r="G21" i="4"/>
  <c r="G7" i="19"/>
  <c r="G8" i="19" s="1"/>
  <c r="G6" i="11"/>
  <c r="G8" i="11" s="1"/>
  <c r="G53" i="8"/>
  <c r="G8" i="17"/>
  <c r="G58" i="8"/>
  <c r="G59" i="8" s="1"/>
  <c r="G5" i="36"/>
  <c r="G16" i="8"/>
  <c r="G18" i="8" s="1"/>
  <c r="G7" i="18"/>
  <c r="G8" i="18" s="1"/>
  <c r="G63" i="8"/>
  <c r="G64" i="8" s="1"/>
  <c r="E21" i="4"/>
  <c r="E8" i="17"/>
  <c r="E58" i="8"/>
  <c r="E59" i="8" s="1"/>
  <c r="E7" i="18"/>
  <c r="E8" i="18" s="1"/>
  <c r="E53" i="8"/>
  <c r="E7" i="19"/>
  <c r="E8" i="19" s="1"/>
  <c r="E6" i="11"/>
  <c r="E8" i="11" s="1"/>
  <c r="E63" i="8"/>
  <c r="E64" i="8" s="1"/>
  <c r="E5" i="36"/>
  <c r="E16" i="8"/>
  <c r="E18" i="8" s="1"/>
  <c r="D38" i="4"/>
  <c r="D70" i="6"/>
  <c r="G25" i="4"/>
  <c r="G26" i="4" s="1"/>
  <c r="G30" i="4" s="1"/>
  <c r="G6" i="44" s="1"/>
  <c r="F26" i="4"/>
  <c r="F30" i="4" s="1"/>
  <c r="F6" i="44" s="1"/>
  <c r="F21" i="4"/>
  <c r="F7" i="18"/>
  <c r="F8" i="18" s="1"/>
  <c r="F7" i="19"/>
  <c r="F8" i="19" s="1"/>
  <c r="F63" i="8"/>
  <c r="F64" i="8" s="1"/>
  <c r="F16" i="8"/>
  <c r="F18" i="8" s="1"/>
  <c r="F5" i="36"/>
  <c r="F6" i="11"/>
  <c r="F8" i="11" s="1"/>
  <c r="F8" i="17"/>
  <c r="F53" i="8"/>
  <c r="F58" i="8"/>
  <c r="F59" i="8" s="1"/>
  <c r="G16" i="35"/>
  <c r="F61" i="7"/>
  <c r="C55" i="7"/>
  <c r="E37" i="6"/>
  <c r="G11" i="6"/>
  <c r="F13" i="6"/>
  <c r="E46" i="6"/>
  <c r="F44" i="6"/>
  <c r="E5" i="43" l="1"/>
  <c r="E5" i="42"/>
  <c r="E6" i="36"/>
  <c r="D72" i="6"/>
  <c r="F5" i="42"/>
  <c r="F5" i="43"/>
  <c r="F6" i="36"/>
  <c r="D6" i="25"/>
  <c r="D8" i="25" s="1"/>
  <c r="D88" i="8"/>
  <c r="D90" i="8" s="1"/>
  <c r="D93" i="8"/>
  <c r="D95" i="8" s="1"/>
  <c r="D6" i="24"/>
  <c r="D8" i="24" s="1"/>
  <c r="E38" i="4"/>
  <c r="D39" i="4"/>
  <c r="G5" i="43"/>
  <c r="G6" i="36"/>
  <c r="G5" i="42"/>
  <c r="E70" i="6"/>
  <c r="E54" i="6"/>
  <c r="F37" i="6"/>
  <c r="G13" i="6"/>
  <c r="F46" i="6"/>
  <c r="G44" i="6"/>
  <c r="E72" i="6" l="1"/>
  <c r="E74" i="6" s="1"/>
  <c r="F70" i="6"/>
  <c r="D73" i="6"/>
  <c r="D74" i="6"/>
  <c r="D6" i="45"/>
  <c r="D6" i="21"/>
  <c r="D9" i="21" s="1"/>
  <c r="D5" i="38"/>
  <c r="D67" i="8"/>
  <c r="D69" i="8" s="1"/>
  <c r="D6" i="20"/>
  <c r="D8" i="20" s="1"/>
  <c r="D72" i="8"/>
  <c r="D75" i="8" s="1"/>
  <c r="D40" i="4"/>
  <c r="E6" i="24"/>
  <c r="E8" i="24" s="1"/>
  <c r="E93" i="8"/>
  <c r="E95" i="8" s="1"/>
  <c r="E6" i="25"/>
  <c r="E8" i="25" s="1"/>
  <c r="E88" i="8"/>
  <c r="E90" i="8" s="1"/>
  <c r="F38" i="4"/>
  <c r="E39" i="4"/>
  <c r="F54" i="6"/>
  <c r="G46" i="6"/>
  <c r="G37" i="6"/>
  <c r="E40" i="4" l="1"/>
  <c r="E6" i="20"/>
  <c r="E8" i="20" s="1"/>
  <c r="E72" i="8"/>
  <c r="E75" i="8" s="1"/>
  <c r="E5" i="38"/>
  <c r="E6" i="45"/>
  <c r="E6" i="21"/>
  <c r="E9" i="21" s="1"/>
  <c r="E67" i="8"/>
  <c r="E69" i="8" s="1"/>
  <c r="F6" i="25"/>
  <c r="F8" i="25" s="1"/>
  <c r="F88" i="8"/>
  <c r="F90" i="8" s="1"/>
  <c r="F93" i="8"/>
  <c r="F95" i="8" s="1"/>
  <c r="F6" i="24"/>
  <c r="F8" i="24" s="1"/>
  <c r="F39" i="4"/>
  <c r="G38" i="4"/>
  <c r="F72" i="6"/>
  <c r="G70" i="6"/>
  <c r="F74" i="6"/>
  <c r="E73" i="6"/>
  <c r="D5" i="44"/>
  <c r="D7" i="16"/>
  <c r="D8" i="16" s="1"/>
  <c r="D69" i="6"/>
  <c r="D61" i="6"/>
  <c r="D53" i="6"/>
  <c r="D36" i="6"/>
  <c r="D28" i="6"/>
  <c r="D20" i="6"/>
  <c r="D99" i="8"/>
  <c r="D100" i="8" s="1"/>
  <c r="D67" i="6"/>
  <c r="D59" i="6"/>
  <c r="D51" i="6"/>
  <c r="D43" i="6"/>
  <c r="D34" i="6"/>
  <c r="D26" i="6"/>
  <c r="D18" i="6"/>
  <c r="D10" i="6"/>
  <c r="D47" i="8"/>
  <c r="D48" i="8" s="1"/>
  <c r="D65" i="6"/>
  <c r="D57" i="6"/>
  <c r="D49" i="6"/>
  <c r="D41" i="6"/>
  <c r="D32" i="6"/>
  <c r="D24" i="6"/>
  <c r="D16" i="6"/>
  <c r="D8" i="6"/>
  <c r="D5" i="45"/>
  <c r="D7" i="26"/>
  <c r="D8" i="26" s="1"/>
  <c r="D63" i="6"/>
  <c r="D30" i="6"/>
  <c r="D22" i="6"/>
  <c r="D6" i="6"/>
  <c r="D47" i="6"/>
  <c r="D12" i="6"/>
  <c r="D45" i="6"/>
  <c r="D55" i="6"/>
  <c r="D14" i="6"/>
  <c r="D38" i="6"/>
  <c r="D71" i="6"/>
  <c r="D75" i="6"/>
  <c r="G54" i="6"/>
  <c r="G39" i="4" l="1"/>
  <c r="G6" i="24"/>
  <c r="G8" i="24" s="1"/>
  <c r="G6" i="25"/>
  <c r="G8" i="25" s="1"/>
  <c r="G93" i="8"/>
  <c r="G95" i="8" s="1"/>
  <c r="G88" i="8"/>
  <c r="G90" i="8" s="1"/>
  <c r="E5" i="45"/>
  <c r="E99" i="8"/>
  <c r="E100" i="8" s="1"/>
  <c r="E47" i="8"/>
  <c r="E48" i="8" s="1"/>
  <c r="E5" i="44"/>
  <c r="E7" i="26"/>
  <c r="E8" i="26" s="1"/>
  <c r="E63" i="6"/>
  <c r="E30" i="6"/>
  <c r="E22" i="6"/>
  <c r="E6" i="6"/>
  <c r="E7" i="16"/>
  <c r="E8" i="16" s="1"/>
  <c r="E69" i="6"/>
  <c r="E61" i="6"/>
  <c r="E53" i="6"/>
  <c r="E36" i="6"/>
  <c r="E28" i="6"/>
  <c r="E20" i="6"/>
  <c r="E67" i="6"/>
  <c r="E59" i="6"/>
  <c r="E51" i="6"/>
  <c r="E43" i="6"/>
  <c r="E34" i="6"/>
  <c r="E26" i="6"/>
  <c r="E18" i="6"/>
  <c r="E10" i="6"/>
  <c r="E65" i="6"/>
  <c r="E57" i="6"/>
  <c r="E49" i="6"/>
  <c r="E41" i="6"/>
  <c r="E32" i="6"/>
  <c r="E24" i="6"/>
  <c r="E16" i="6"/>
  <c r="E8" i="6"/>
  <c r="E12" i="6"/>
  <c r="E45" i="6"/>
  <c r="E14" i="6"/>
  <c r="E47" i="6"/>
  <c r="E38" i="6"/>
  <c r="E71" i="6"/>
  <c r="E55" i="6"/>
  <c r="G72" i="6"/>
  <c r="F40" i="4"/>
  <c r="F5" i="38"/>
  <c r="F6" i="45"/>
  <c r="F6" i="21"/>
  <c r="F9" i="21" s="1"/>
  <c r="F67" i="8"/>
  <c r="F69" i="8" s="1"/>
  <c r="F6" i="20"/>
  <c r="F8" i="20" s="1"/>
  <c r="F72" i="8"/>
  <c r="F75" i="8" s="1"/>
  <c r="E75" i="6"/>
  <c r="F7" i="26" l="1"/>
  <c r="F8" i="26" s="1"/>
  <c r="F7" i="16"/>
  <c r="F8" i="16" s="1"/>
  <c r="F5" i="45"/>
  <c r="F5" i="44"/>
  <c r="F65" i="6"/>
  <c r="F57" i="6"/>
  <c r="F49" i="6"/>
  <c r="F41" i="6"/>
  <c r="F32" i="6"/>
  <c r="F24" i="6"/>
  <c r="F16" i="6"/>
  <c r="F8" i="6"/>
  <c r="F63" i="6"/>
  <c r="F30" i="6"/>
  <c r="F22" i="6"/>
  <c r="F6" i="6"/>
  <c r="F99" i="8"/>
  <c r="F100" i="8" s="1"/>
  <c r="F69" i="6"/>
  <c r="F61" i="6"/>
  <c r="F53" i="6"/>
  <c r="F36" i="6"/>
  <c r="F28" i="6"/>
  <c r="F20" i="6"/>
  <c r="F47" i="8"/>
  <c r="F48" i="8" s="1"/>
  <c r="F67" i="6"/>
  <c r="F59" i="6"/>
  <c r="F51" i="6"/>
  <c r="F43" i="6"/>
  <c r="F34" i="6"/>
  <c r="F26" i="6"/>
  <c r="F18" i="6"/>
  <c r="F10" i="6"/>
  <c r="F12" i="6"/>
  <c r="F45" i="6"/>
  <c r="F14" i="6"/>
  <c r="F47" i="6"/>
  <c r="F38" i="6"/>
  <c r="F55" i="6"/>
  <c r="F71" i="6"/>
  <c r="F73" i="6"/>
  <c r="G40" i="4"/>
  <c r="G6" i="20"/>
  <c r="G8" i="20" s="1"/>
  <c r="G72" i="8"/>
  <c r="G75" i="8" s="1"/>
  <c r="G5" i="38"/>
  <c r="G6" i="21"/>
  <c r="G9" i="21" s="1"/>
  <c r="G67" i="8"/>
  <c r="G69" i="8" s="1"/>
  <c r="G6" i="45"/>
  <c r="G74" i="6"/>
  <c r="F75" i="6"/>
  <c r="G5" i="44" l="1"/>
  <c r="G7" i="16"/>
  <c r="G8" i="16" s="1"/>
  <c r="G99" i="8"/>
  <c r="G100" i="8" s="1"/>
  <c r="G5" i="45"/>
  <c r="G7" i="26"/>
  <c r="G8" i="26" s="1"/>
  <c r="G47" i="8"/>
  <c r="G48" i="8" s="1"/>
  <c r="G67" i="6"/>
  <c r="G59" i="6"/>
  <c r="G51" i="6"/>
  <c r="G43" i="6"/>
  <c r="G34" i="6"/>
  <c r="G26" i="6"/>
  <c r="G18" i="6"/>
  <c r="G10" i="6"/>
  <c r="G65" i="6"/>
  <c r="G57" i="6"/>
  <c r="G49" i="6"/>
  <c r="G41" i="6"/>
  <c r="G32" i="6"/>
  <c r="G24" i="6"/>
  <c r="G16" i="6"/>
  <c r="G8" i="6"/>
  <c r="G63" i="6"/>
  <c r="G30" i="6"/>
  <c r="G22" i="6"/>
  <c r="G6" i="6"/>
  <c r="G69" i="6"/>
  <c r="G61" i="6"/>
  <c r="G53" i="6"/>
  <c r="G36" i="6"/>
  <c r="G28" i="6"/>
  <c r="G20" i="6"/>
  <c r="G12" i="6"/>
  <c r="G14" i="6"/>
  <c r="G45" i="6"/>
  <c r="G38" i="6"/>
  <c r="G47" i="6"/>
  <c r="G55" i="6"/>
  <c r="G71" i="6"/>
  <c r="G75" i="6"/>
  <c r="G73" i="6"/>
</calcChain>
</file>

<file path=xl/sharedStrings.xml><?xml version="1.0" encoding="utf-8"?>
<sst xmlns="http://schemas.openxmlformats.org/spreadsheetml/2006/main" count="473" uniqueCount="248">
  <si>
    <t>Equity Share Capital</t>
  </si>
  <si>
    <t>Total Share Capital</t>
  </si>
  <si>
    <t>Reserves and Surplus</t>
  </si>
  <si>
    <t>Minority Interest</t>
  </si>
  <si>
    <t>Long Term Borrowings</t>
  </si>
  <si>
    <t>Deferred Tax Liabilities [Net]</t>
  </si>
  <si>
    <t>Other Long Term Liabilities</t>
  </si>
  <si>
    <t>Long Term Provisions</t>
  </si>
  <si>
    <t>Short Term Borrowings</t>
  </si>
  <si>
    <t>Trade Payables</t>
  </si>
  <si>
    <t>Other Current Liabilities</t>
  </si>
  <si>
    <t>Short Term Provisions</t>
  </si>
  <si>
    <t>Total Current Liabilities</t>
  </si>
  <si>
    <t>Tangible Assets</t>
  </si>
  <si>
    <t>Intangible Assets</t>
  </si>
  <si>
    <t>Capital Work-In-Progress</t>
  </si>
  <si>
    <t>Non-Current Investments</t>
  </si>
  <si>
    <t>Deferred Tax Assets [Net]</t>
  </si>
  <si>
    <t>Long Term Loans And Advances</t>
  </si>
  <si>
    <t>Other Non-Current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</si>
  <si>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</si>
  <si>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</si>
  <si>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</si>
  <si>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</si>
  <si>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</si>
  <si>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</si>
  <si>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</si>
  <si>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</si>
  <si>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Income</t>
  </si>
  <si>
    <t>Cost Of Materials Consumed</t>
  </si>
  <si>
    <t>Operating And Direct Expenses</t>
  </si>
  <si>
    <t>Employee Benefit Expenses</t>
  </si>
  <si>
    <t>Finance Costs</t>
  </si>
  <si>
    <t>Depreciation And Amortisation Expenses</t>
  </si>
  <si>
    <t>Other Expenses</t>
  </si>
  <si>
    <t>Exceptional Items</t>
  </si>
  <si>
    <t>Total Tax Expenses</t>
  </si>
  <si>
    <t>Basic EPS (Rs.)</t>
  </si>
  <si>
    <t>Equity Share Dividend</t>
  </si>
  <si>
    <t>Tax On Dividend</t>
  </si>
  <si>
    <t>Gross Sales</t>
  </si>
  <si>
    <t>Excise Duty</t>
  </si>
  <si>
    <t>Tax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</si>
  <si>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</si>
  <si>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</si>
  <si>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</si>
  <si>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</si>
  <si>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</si>
  <si>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</si>
  <si>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</si>
  <si>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</si>
  <si>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</si>
  <si>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</si>
  <si>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</si>
  <si>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</si>
  <si>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</si>
  <si>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</si>
  <si>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</si>
  <si>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</si>
  <si>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</si>
  <si>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</si>
  <si>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</si>
  <si>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</si>
  <si>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</si>
  <si>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</si>
  <si>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</si>
  <si>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</si>
  <si>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</si>
  <si>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</si>
  <si>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</si>
  <si>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</si>
  <si>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</si>
  <si>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</si>
  <si>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</si>
  <si>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</si>
  <si>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</si>
  <si>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</si>
  <si>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</si>
  <si>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</si>
  <si>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</si>
  <si>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</si>
  <si>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</si>
  <si>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Equity Share Capital % in Assets</t>
  </si>
  <si>
    <t>Preference Share Capital % in Assets</t>
  </si>
  <si>
    <t>Total Share Capital % in Assets</t>
  </si>
  <si>
    <t>Reserves and Surplus % in Assets</t>
  </si>
  <si>
    <t>Net Worth % in Assets</t>
  </si>
  <si>
    <t>Long Term Borrowings % in Assets</t>
  </si>
  <si>
    <t>Deferred Tax Liabilities [Net] % in Assets</t>
  </si>
  <si>
    <t>Short Term Borrowings % in Assets</t>
  </si>
  <si>
    <t>Total Debt % in Assets</t>
  </si>
  <si>
    <t>Long Term Provisions % in Assets</t>
  </si>
  <si>
    <t>Short Term Provisions % in Assets</t>
  </si>
  <si>
    <t>Other Long Term Liabilities % in Assets</t>
  </si>
  <si>
    <t>Trade Payables % in Assets</t>
  </si>
  <si>
    <t>Other Current Liabilities % in Assets</t>
  </si>
  <si>
    <t>Total Current Liabilities % in Assets</t>
  </si>
  <si>
    <t>Minority Interest % in Assets</t>
  </si>
  <si>
    <t>Total Liabilities % in Assets</t>
  </si>
  <si>
    <t>Tangible Assets % in Assets</t>
  </si>
  <si>
    <t>Intangible Assets % in Assets</t>
  </si>
  <si>
    <t>Depreciation % in Assets</t>
  </si>
  <si>
    <t>Net Assets % in Assets</t>
  </si>
  <si>
    <t>Non-Current Investments % in Assets</t>
  </si>
  <si>
    <t>Current Investments % in Assets</t>
  </si>
  <si>
    <t>Capital Work-In-Progress % in Assets</t>
  </si>
  <si>
    <t>Total Non Current Assets % in Assets</t>
  </si>
  <si>
    <t>Deferred Tax Assets [Net] % in Assets</t>
  </si>
  <si>
    <t>Long Term Loans And Advances % in Assets</t>
  </si>
  <si>
    <t>Other Non-Current Assets % in Assets</t>
  </si>
  <si>
    <t>Short Term Loans And Advances % in Assets</t>
  </si>
  <si>
    <t>OtherCurrentAssets % in Assets</t>
  </si>
  <si>
    <t>Inventories % in Assets</t>
  </si>
  <si>
    <t>Trade Receivables % in Assets</t>
  </si>
  <si>
    <t>Cash And Cash Equivalents % in Assets</t>
  </si>
  <si>
    <t>Total Current Assets % in Assets</t>
  </si>
  <si>
    <t>Total Assets % in Assets</t>
  </si>
  <si>
    <t>Gross Sales % in Gross Sales</t>
  </si>
  <si>
    <t>Excise Duty % in Gross Sales</t>
  </si>
  <si>
    <t>Net Sales % in Gross Sales</t>
  </si>
  <si>
    <t>Other Income % in Gross Sales</t>
  </si>
  <si>
    <t>Stock Adjustments % in Gross Sales</t>
  </si>
  <si>
    <t>Total Income % in Gross Sales</t>
  </si>
  <si>
    <t>Cost Of Materials Consumed % in Gross Sales</t>
  </si>
  <si>
    <t>Operating And Direct Expenses % in Gross Sales</t>
  </si>
  <si>
    <t>Employee Benefit Expenses % in Gross Sales</t>
  </si>
  <si>
    <t>Other Expenses % in Gross Sales</t>
  </si>
  <si>
    <t>Total Expenditure % in Gross Sales</t>
  </si>
  <si>
    <t>Operating Profit % in Gross Sales</t>
  </si>
  <si>
    <t>PBDIT % in Gross Sales</t>
  </si>
  <si>
    <t>Depreciation And Amortisation Expenses % in Gross Sales</t>
  </si>
  <si>
    <t>PBIT % in Gross Sales</t>
  </si>
  <si>
    <t>Finance Costs % in Gross Sales</t>
  </si>
  <si>
    <t>Profit Before share of Associates % in Gross Sales</t>
  </si>
  <si>
    <t>Share Of Profit/Loss Of Associates % in Gross Sales</t>
  </si>
  <si>
    <t>PBT % in Gross Sales</t>
  </si>
  <si>
    <t>Exceptional Items % in Gross Sales</t>
  </si>
  <si>
    <t>PBT(Post Extra Ordinary Items) % in Gross Sales</t>
  </si>
  <si>
    <t>Total Tax Expenses % in Gross Sales</t>
  </si>
  <si>
    <t>Reported Net Profit(PAT) % in Gross Sales</t>
  </si>
  <si>
    <t>Equity Share Dividend % in Gross Sales</t>
  </si>
  <si>
    <t>Tax On Dividend % in Gross Sales</t>
  </si>
  <si>
    <t>Amount C\F to Balance Sheet % in Gross Sales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</si>
  <si>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</si>
  <si>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</si>
  <si>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</si>
  <si>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</si>
  <si>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</si>
  <si>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</si>
  <si>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</si>
  <si>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</si>
  <si>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</si>
  <si>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</si>
  <si>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</si>
  <si>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</si>
  <si>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</si>
  <si>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</si>
  <si>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</si>
  <si>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</si>
  <si>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</si>
  <si>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</si>
  <si>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</si>
  <si>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</si>
  <si>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</si>
  <si>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</si>
  <si>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</si>
  <si>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</si>
  <si>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</si>
  <si>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</si>
  <si>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</si>
  <si>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</si>
  <si>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</si>
  <si>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</si>
  <si>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</si>
  <si>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</si>
  <si>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</si>
  <si>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</si>
  <si>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</si>
  <si>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</si>
  <si>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</si>
  <si>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</si>
  <si>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</si>
  <si>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</si>
  <si>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</si>
  <si>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</si>
  <si>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</si>
  <si>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</si>
  <si>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</si>
  <si>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</si>
  <si>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</si>
  <si>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</si>
  <si>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</si>
  <si>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</si>
  <si>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</si>
  <si>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</si>
  <si>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</si>
  <si>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</si>
  <si>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</si>
  <si>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</si>
  <si>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</si>
  <si>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</si>
  <si>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</si>
  <si>
    <t>Income_Statement</t>
  </si>
  <si>
    <t>Back To Index</t>
  </si>
  <si>
    <t>Balance_Sheet</t>
  </si>
  <si>
    <t>CashFlow_Statement</t>
  </si>
  <si>
    <t>CommonSize_Balance_Sheet</t>
  </si>
  <si>
    <t>CommonSize_Income_Statement</t>
  </si>
  <si>
    <t>Ratios</t>
  </si>
  <si>
    <t>Earning__Per_Share</t>
  </si>
  <si>
    <t>Equity_Dividend_Per_Share</t>
  </si>
  <si>
    <t>Book_Value__Per_Share</t>
  </si>
  <si>
    <t>Dividend_Pay_Out_Ratio</t>
  </si>
  <si>
    <t>Dividend_Retention_Ratio</t>
  </si>
  <si>
    <t>Gross_Profit</t>
  </si>
  <si>
    <t>Net_Profit</t>
  </si>
  <si>
    <t>Return_On_Assets</t>
  </si>
  <si>
    <t>Return_On_Capital_Employeed</t>
  </si>
  <si>
    <t>Return_On_Equity</t>
  </si>
  <si>
    <t>Debt_Equity_Ratio</t>
  </si>
  <si>
    <t>Current_Ratio</t>
  </si>
  <si>
    <t>Quick_Ratio</t>
  </si>
  <si>
    <t>Interest_Coverage_Ratio</t>
  </si>
  <si>
    <t>Material_Consumed</t>
  </si>
  <si>
    <t>Defensive_Interval_Ratio</t>
  </si>
  <si>
    <t>Purchases_Per_Day</t>
  </si>
  <si>
    <t>Asset_TurnOver_Ratio</t>
  </si>
  <si>
    <t>Inventory_TurnOver_Ratio</t>
  </si>
  <si>
    <t>Debtors_TurnOver_Ratio</t>
  </si>
  <si>
    <t>Fixed_Assets_TurnOver_Ratio</t>
  </si>
  <si>
    <t>Payable_TurnOver_Ratio</t>
  </si>
  <si>
    <t>Inventory_Days</t>
  </si>
  <si>
    <t>Payable_Days</t>
  </si>
  <si>
    <t>Receivable_Days</t>
  </si>
  <si>
    <t>Operating_Cycle</t>
  </si>
  <si>
    <t>Cash_Conversion_Cycle_Days</t>
  </si>
  <si>
    <t>NetWorthVsTotalLiabilties</t>
  </si>
  <si>
    <t>PBDITvsPBIT</t>
  </si>
  <si>
    <t>CAvsCL</t>
  </si>
  <si>
    <t>Long_And_Short_Term_Provisions</t>
  </si>
  <si>
    <t>MaterialConsumed_DirectExpenses</t>
  </si>
  <si>
    <t>Gross_Sales_In_Total_Income</t>
  </si>
  <si>
    <t>Total_Debt_In_Liabilities</t>
  </si>
  <si>
    <t>Total_CL_In_Liabilities</t>
  </si>
  <si>
    <t>Total_NCA_In_Assets</t>
  </si>
  <si>
    <t>Total_CA_In_Assets</t>
  </si>
  <si>
    <t>TotalExpenditureVsTotalIncome</t>
  </si>
  <si>
    <t>Net_Profit_CF_To_Balance_Sheet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</si>
</sst>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13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1"/>
      <color indexed="16"/>
      <name val="Century"/>
      <family val="1"/>
    </font>
    <font>
      <b/>
      <sz val="11"/>
      <color indexed="16"/>
      <name val="Century"/>
      <family val="1"/>
    </font>
    <font>
      <b/>
      <sz val="11"/>
      <color indexed="18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  <font>
      <u/>
      <sz val="11"/>
      <color theme="10"/>
      <name val="Calibri"/>
      <family val="2"/>
      <scheme val="minor"/>
    </font>
    <font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0" fontId="6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10" fontId="8" fillId="0" borderId="0" xfId="0" applyNumberFormat="1" applyFont="1" applyAlignment="1">
      <alignment horizontal="right"/>
    </xf>
    <xf numFmtId="10" fontId="7" fillId="0" borderId="0" xfId="0" applyNumberFormat="1" applyFont="1" applyAlignment="1">
      <alignment horizontal="right"/>
    </xf>
    <xf numFmtId="0" fontId="3" fillId="3" borderId="0" xfId="0" applyFont="1" applyFill="1"/>
    <xf numFmtId="0" fontId="3" fillId="4" borderId="0" xfId="0" applyFont="1" applyFill="1" applyAlignment="1">
      <alignment horizontal="center" vertical="center"/>
    </xf>
    <xf numFmtId="0" fontId="9" fillId="0" borderId="0" xfId="0" applyFont="1"/>
    <xf numFmtId="164" fontId="9" fillId="0" borderId="0" xfId="0" applyNumberFormat="1" applyFont="1"/>
    <xf numFmtId="0" fontId="10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10" fillId="0" borderId="0" xfId="0" applyNumberFormat="1" applyFont="1"/>
    <xf numFmtId="164" fontId="10" fillId="0" borderId="0" xfId="0" applyNumberFormat="1" applyFont="1"/>
    <xf numFmtId="0" fontId="11" fillId="0" borderId="0" xfId="1"/>
    <xf numFmtId="0" fontId="12" fillId="0" borderId="0" xfId="1" applyFont="1"/>
    <xf numFmtId="0" fontId="0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D9D-4D16-8B34-25777B5E06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Earning__Per_Share!$C$3:$G$3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Earning__Per_Share!$C$8:$G$8</c:f>
              <c:numCache>
                <c:formatCode>General</c:formatCode>
                <c:ptCount val="5"/>
                <c:pt idx="0">
                  <c:v>-7</c:v>
                </c:pt>
                <c:pt idx="1">
                  <c:v>-43</c:v>
                </c:pt>
                <c:pt idx="2">
                  <c:v>128</c:v>
                </c:pt>
                <c:pt idx="3">
                  <c:v>88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9D-4D16-8B34-25777B5E0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528144"/>
        <c:axId val="308016000"/>
      </c:lineChart>
      <c:catAx>
        <c:axId val="24352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08016000"/>
        <c:crosses val="autoZero"/>
        <c:auto val="0"/>
        <c:lblAlgn val="ctr"/>
        <c:lblOffset val="100"/>
        <c:noMultiLvlLbl val="0"/>
      </c:catAx>
      <c:valAx>
        <c:axId val="308016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35281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E6-465E-89C5-E64F62B85A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Return_On_Equity!$C$3:$G$3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Return_On_Equity!$C$8:$G$8</c:f>
              <c:numCache>
                <c:formatCode>0.00%</c:formatCode>
                <c:ptCount val="5"/>
                <c:pt idx="0">
                  <c:v>0.16</c:v>
                </c:pt>
                <c:pt idx="1">
                  <c:v>0.06</c:v>
                </c:pt>
                <c:pt idx="2">
                  <c:v>0.19</c:v>
                </c:pt>
                <c:pt idx="3">
                  <c:v>7.0000000000000007E-2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E6-465E-89C5-E64F62B85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191200"/>
        <c:axId val="312352992"/>
      </c:lineChart>
      <c:catAx>
        <c:axId val="30819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2992"/>
        <c:crosses val="autoZero"/>
        <c:auto val="0"/>
        <c:lblAlgn val="ctr"/>
        <c:lblOffset val="100"/>
        <c:noMultiLvlLbl val="0"/>
      </c:catAx>
      <c:valAx>
        <c:axId val="312352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08191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AB7-4057-A4BB-37B817C270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Debt_Equity_Ratio!$C$3:$G$3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Debt_Equity_Ratio!$C$8:$G$8</c:f>
              <c:numCache>
                <c:formatCode>General</c:formatCode>
                <c:ptCount val="5"/>
                <c:pt idx="0">
                  <c:v>2.17</c:v>
                </c:pt>
                <c:pt idx="1">
                  <c:v>2.0299999999999998</c:v>
                </c:pt>
                <c:pt idx="2">
                  <c:v>1.41</c:v>
                </c:pt>
                <c:pt idx="3">
                  <c:v>1.3</c:v>
                </c:pt>
                <c:pt idx="4">
                  <c:v>1.54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AB7-4057-A4BB-37B817C270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190800"/>
        <c:axId val="312353824"/>
      </c:lineChart>
      <c:catAx>
        <c:axId val="30819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3824"/>
        <c:crosses val="autoZero"/>
        <c:auto val="0"/>
        <c:lblAlgn val="ctr"/>
        <c:lblOffset val="100"/>
        <c:noMultiLvlLbl val="0"/>
      </c:catAx>
      <c:valAx>
        <c:axId val="312353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8190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121-4DCC-AF0C-9609D9FE694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121-4DCC-AF0C-9609D9FE694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121-4DCC-AF0C-9609D9FE69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Current_Ratio!$C$3:$G$3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Current_Ratio!$C$8:$G$8</c:f>
              <c:numCache>
                <c:formatCode>General</c:formatCode>
                <c:ptCount val="5"/>
                <c:pt idx="0">
                  <c:v>1.36</c:v>
                </c:pt>
                <c:pt idx="1">
                  <c:v>1.69</c:v>
                </c:pt>
                <c:pt idx="2">
                  <c:v>2.15</c:v>
                </c:pt>
                <c:pt idx="3">
                  <c:v>2.0299999999999998</c:v>
                </c:pt>
                <c:pt idx="4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121-4DCC-AF0C-9609D9FE6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549280"/>
        <c:axId val="312355072"/>
      </c:lineChart>
      <c:catAx>
        <c:axId val="240549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5072"/>
        <c:crosses val="autoZero"/>
        <c:auto val="0"/>
        <c:lblAlgn val="ctr"/>
        <c:lblOffset val="100"/>
        <c:noMultiLvlLbl val="0"/>
      </c:catAx>
      <c:valAx>
        <c:axId val="312355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0549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60A-4E7B-A9E4-0241F044B18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60A-4E7B-A9E4-0241F044B18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60A-4E7B-A9E4-0241F044B1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Quick_Ratio!$C$3:$G$3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Quick_Ratio!$C$9:$G$9</c:f>
              <c:numCache>
                <c:formatCode>General</c:formatCode>
                <c:ptCount val="5"/>
                <c:pt idx="0">
                  <c:v>0.9</c:v>
                </c:pt>
                <c:pt idx="1">
                  <c:v>1.0900000000000001</c:v>
                </c:pt>
                <c:pt idx="2">
                  <c:v>1.57</c:v>
                </c:pt>
                <c:pt idx="3">
                  <c:v>1.5</c:v>
                </c:pt>
                <c:pt idx="4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60A-4E7B-A9E4-0241F044B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548880"/>
        <c:axId val="312356320"/>
      </c:lineChart>
      <c:catAx>
        <c:axId val="24054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6320"/>
        <c:crosses val="autoZero"/>
        <c:auto val="0"/>
        <c:lblAlgn val="ctr"/>
        <c:lblOffset val="100"/>
        <c:noMultiLvlLbl val="0"/>
      </c:catAx>
      <c:valAx>
        <c:axId val="312356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054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5EC-40AC-A144-94246BD93CB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5EC-40AC-A144-94246BD93C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Interest_Coverage_Ratio!$C$3:$G$3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Interest_Coverage_Ratio!$C$8:$G$8</c:f>
              <c:numCache>
                <c:formatCode>General</c:formatCode>
                <c:ptCount val="5"/>
                <c:pt idx="0">
                  <c:v>3.28</c:v>
                </c:pt>
                <c:pt idx="1">
                  <c:v>3.4</c:v>
                </c:pt>
                <c:pt idx="2">
                  <c:v>4.6399999999999997</c:v>
                </c:pt>
                <c:pt idx="3">
                  <c:v>3.3</c:v>
                </c:pt>
                <c:pt idx="4">
                  <c:v>1.32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EC-40AC-A144-94246BD9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549680"/>
        <c:axId val="312355904"/>
      </c:lineChart>
      <c:catAx>
        <c:axId val="24054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5904"/>
        <c:crosses val="autoZero"/>
        <c:auto val="0"/>
        <c:lblAlgn val="ctr"/>
        <c:lblOffset val="100"/>
        <c:noMultiLvlLbl val="0"/>
      </c:catAx>
      <c:valAx>
        <c:axId val="312355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05496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972-4D07-9DDD-17500A18238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972-4D07-9DDD-17500A18238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972-4D07-9DDD-17500A18238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972-4D07-9DDD-17500A1823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Material_Consumed!$C$3:$G$3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Material_Consumed!$C$8:$G$8</c:f>
              <c:numCache>
                <c:formatCode>General</c:formatCode>
                <c:ptCount val="5"/>
                <c:pt idx="0">
                  <c:v>0.27</c:v>
                </c:pt>
                <c:pt idx="1">
                  <c:v>0.28999999999999998</c:v>
                </c:pt>
                <c:pt idx="2">
                  <c:v>0.31</c:v>
                </c:pt>
                <c:pt idx="3">
                  <c:v>0.35</c:v>
                </c:pt>
                <c:pt idx="4">
                  <c:v>0.39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72-4D07-9DDD-17500A182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539680"/>
        <c:axId val="312357568"/>
      </c:lineChart>
      <c:catAx>
        <c:axId val="13053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7568"/>
        <c:crosses val="autoZero"/>
        <c:auto val="0"/>
        <c:lblAlgn val="ctr"/>
        <c:lblOffset val="100"/>
        <c:noMultiLvlLbl val="0"/>
      </c:catAx>
      <c:valAx>
        <c:axId val="31235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5396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34-4F64-B10C-A57AB2B7C1C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34-4F64-B10C-A57AB2B7C1C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34-4F64-B10C-A57AB2B7C1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Defensive_Interval_Ratio!$C$3:$G$3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Defensive_Interval_Ratio!$C$8:$G$8</c:f>
              <c:numCache>
                <c:formatCode>General</c:formatCode>
                <c:ptCount val="5"/>
                <c:pt idx="0">
                  <c:v>80.31</c:v>
                </c:pt>
                <c:pt idx="1">
                  <c:v>247.37</c:v>
                </c:pt>
                <c:pt idx="2">
                  <c:v>298.91000000000003</c:v>
                </c:pt>
                <c:pt idx="3">
                  <c:v>255.29</c:v>
                </c:pt>
                <c:pt idx="4">
                  <c:v>314.87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34-4F64-B10C-A57AB2B7C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540080"/>
        <c:axId val="316155008"/>
      </c:lineChart>
      <c:catAx>
        <c:axId val="13054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5008"/>
        <c:crosses val="autoZero"/>
        <c:auto val="0"/>
        <c:lblAlgn val="ctr"/>
        <c:lblOffset val="100"/>
        <c:noMultiLvlLbl val="0"/>
      </c:catAx>
      <c:valAx>
        <c:axId val="316155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540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427-49F4-9977-295CED72DD81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427-49F4-9977-295CED72DD8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427-49F4-9977-295CED72DD8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427-49F4-9977-295CED72DD8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Purchases_Per_Day!$C$3:$G$3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Purchases_Per_Day!$C$8:$G$8</c:f>
              <c:numCache>
                <c:formatCode>General</c:formatCode>
                <c:ptCount val="5"/>
                <c:pt idx="0">
                  <c:v>6186.34</c:v>
                </c:pt>
                <c:pt idx="1">
                  <c:v>21970.63</c:v>
                </c:pt>
                <c:pt idx="2">
                  <c:v>33744.080000000002</c:v>
                </c:pt>
                <c:pt idx="3">
                  <c:v>37985.279999999999</c:v>
                </c:pt>
                <c:pt idx="4">
                  <c:v>45931.97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7-49F4-9977-295CED72D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0550080"/>
        <c:axId val="316156256"/>
      </c:lineChart>
      <c:catAx>
        <c:axId val="240550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6256"/>
        <c:crosses val="autoZero"/>
        <c:auto val="0"/>
        <c:lblAlgn val="ctr"/>
        <c:lblOffset val="100"/>
        <c:noMultiLvlLbl val="0"/>
      </c:catAx>
      <c:valAx>
        <c:axId val="316156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0550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609-4A2E-87A3-28EF5FE4189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609-4A2E-87A3-28EF5FE418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Asset_TurnOver_Ratio!$C$3:$G$3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Asset_TurnOver_Ratio!$C$8:$G$8</c:f>
              <c:numCache>
                <c:formatCode>General</c:formatCode>
                <c:ptCount val="5"/>
                <c:pt idx="0">
                  <c:v>0.6</c:v>
                </c:pt>
                <c:pt idx="1">
                  <c:v>0.64</c:v>
                </c:pt>
                <c:pt idx="2">
                  <c:v>0.6</c:v>
                </c:pt>
                <c:pt idx="3">
                  <c:v>0.63</c:v>
                </c:pt>
                <c:pt idx="4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609-4A2E-87A3-28EF5FE41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540480"/>
        <c:axId val="316155840"/>
      </c:lineChart>
      <c:catAx>
        <c:axId val="13054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5840"/>
        <c:crosses val="autoZero"/>
        <c:auto val="0"/>
        <c:lblAlgn val="ctr"/>
        <c:lblOffset val="100"/>
        <c:noMultiLvlLbl val="0"/>
      </c:catAx>
      <c:valAx>
        <c:axId val="316155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540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35E-47B9-8154-D017AAFA02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Inventory_TurnOver_Ratio!$C$3:$G$3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Inventory_TurnOver_Ratio!$C$8:$G$8</c:f>
              <c:numCache>
                <c:formatCode>General</c:formatCode>
                <c:ptCount val="5"/>
                <c:pt idx="0">
                  <c:v>5.28</c:v>
                </c:pt>
                <c:pt idx="1">
                  <c:v>4.7</c:v>
                </c:pt>
                <c:pt idx="2">
                  <c:v>4.6500000000000004</c:v>
                </c:pt>
                <c:pt idx="3">
                  <c:v>4.8899999999999997</c:v>
                </c:pt>
                <c:pt idx="4">
                  <c:v>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5E-47B9-8154-D017AAFA02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540880"/>
        <c:axId val="316157504"/>
      </c:lineChart>
      <c:catAx>
        <c:axId val="13054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7504"/>
        <c:crosses val="autoZero"/>
        <c:auto val="0"/>
        <c:lblAlgn val="ctr"/>
        <c:lblOffset val="100"/>
        <c:noMultiLvlLbl val="0"/>
      </c:catAx>
      <c:valAx>
        <c:axId val="316157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540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D5-41FD-9043-8161009AB38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BD5-41FD-9043-8161009AB38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D5-41FD-9043-8161009AB3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Equity_Dividend_Per_Share!$C$3:$G$3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Equity_Dividend_Per_Share!$C$8:$G$8</c:f>
              <c:numCache>
                <c:formatCode>General</c:formatCode>
                <c:ptCount val="5"/>
                <c:pt idx="0">
                  <c:v>-0.42</c:v>
                </c:pt>
                <c:pt idx="1">
                  <c:v>-8.84</c:v>
                </c:pt>
                <c:pt idx="2">
                  <c:v>6.04</c:v>
                </c:pt>
                <c:pt idx="3">
                  <c:v>9.33</c:v>
                </c:pt>
                <c:pt idx="4">
                  <c:v>14.62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D5-41FD-9043-8161009AB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528944"/>
        <c:axId val="308016832"/>
      </c:lineChart>
      <c:catAx>
        <c:axId val="24352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08016832"/>
        <c:crosses val="autoZero"/>
        <c:auto val="0"/>
        <c:lblAlgn val="ctr"/>
        <c:lblOffset val="100"/>
        <c:noMultiLvlLbl val="0"/>
      </c:catAx>
      <c:valAx>
        <c:axId val="308016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3528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C70-4230-BFBC-20F18A944A9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C70-4230-BFBC-20F18A944A9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C70-4230-BFBC-20F18A944A9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C70-4230-BFBC-20F18A944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Debtors_TurnOver_Ratio!$C$3:$G$3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Debtors_TurnOver_Ratio!$C$8:$G$8</c:f>
              <c:numCache>
                <c:formatCode>General</c:formatCode>
                <c:ptCount val="5"/>
                <c:pt idx="0">
                  <c:v>8.76</c:v>
                </c:pt>
                <c:pt idx="1">
                  <c:v>10.07</c:v>
                </c:pt>
                <c:pt idx="2">
                  <c:v>10.61</c:v>
                </c:pt>
                <c:pt idx="3">
                  <c:v>13.1</c:v>
                </c:pt>
                <c:pt idx="4">
                  <c:v>17.37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70-4230-BFBC-20F18A944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482336"/>
        <c:axId val="316158336"/>
      </c:lineChart>
      <c:catAx>
        <c:axId val="130482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8336"/>
        <c:crosses val="autoZero"/>
        <c:auto val="0"/>
        <c:lblAlgn val="ctr"/>
        <c:lblOffset val="100"/>
        <c:noMultiLvlLbl val="0"/>
      </c:catAx>
      <c:valAx>
        <c:axId val="316158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482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541-41E3-A1AB-89908E7346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Fixed_Assets_TurnOver_Ratio!$C$3:$G$3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Fixed_Assets_TurnOver_Ratio!$C$8:$G$8</c:f>
              <c:numCache>
                <c:formatCode>General</c:formatCode>
                <c:ptCount val="5"/>
                <c:pt idx="0">
                  <c:v>1.59</c:v>
                </c:pt>
                <c:pt idx="1">
                  <c:v>1.34</c:v>
                </c:pt>
                <c:pt idx="2">
                  <c:v>1.46</c:v>
                </c:pt>
                <c:pt idx="3">
                  <c:v>1.31</c:v>
                </c:pt>
                <c:pt idx="4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41-41E3-A1AB-89908E734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482736"/>
        <c:axId val="316159168"/>
      </c:lineChart>
      <c:catAx>
        <c:axId val="130482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59168"/>
        <c:crosses val="autoZero"/>
        <c:auto val="0"/>
        <c:lblAlgn val="ctr"/>
        <c:lblOffset val="100"/>
        <c:noMultiLvlLbl val="0"/>
      </c:catAx>
      <c:valAx>
        <c:axId val="316159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482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001-428A-AC22-F35B3DAB9ED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001-428A-AC22-F35B3DAB9ED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D001-428A-AC22-F35B3DAB9ED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001-428A-AC22-F35B3DAB9E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Payable_TurnOver_Ratio!$C$3:$G$3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Payable_TurnOver_Ratio!$C$8:$G$8</c:f>
              <c:numCache>
                <c:formatCode>General</c:formatCode>
                <c:ptCount val="5"/>
                <c:pt idx="0">
                  <c:v>0.65</c:v>
                </c:pt>
                <c:pt idx="1">
                  <c:v>0.78</c:v>
                </c:pt>
                <c:pt idx="2">
                  <c:v>0.85</c:v>
                </c:pt>
                <c:pt idx="3">
                  <c:v>0.93</c:v>
                </c:pt>
                <c:pt idx="4">
                  <c:v>1.03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1-428A-AC22-F35B3DAB9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483136"/>
        <c:axId val="316160000"/>
      </c:lineChart>
      <c:catAx>
        <c:axId val="130483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0000"/>
        <c:crosses val="autoZero"/>
        <c:auto val="0"/>
        <c:lblAlgn val="ctr"/>
        <c:lblOffset val="100"/>
        <c:noMultiLvlLbl val="0"/>
      </c:catAx>
      <c:valAx>
        <c:axId val="316160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483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ECC-4EA9-84F8-942187A261B1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ECC-4EA9-84F8-942187A261B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ECC-4EA9-84F8-942187A261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Inventory_Days!$C$3:$G$3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Inventory_Days!$C$8:$G$8</c:f>
              <c:numCache>
                <c:formatCode>General</c:formatCode>
                <c:ptCount val="5"/>
                <c:pt idx="0">
                  <c:v>69.12</c:v>
                </c:pt>
                <c:pt idx="1">
                  <c:v>77.59</c:v>
                </c:pt>
                <c:pt idx="2">
                  <c:v>78.489999999999995</c:v>
                </c:pt>
                <c:pt idx="3">
                  <c:v>74.69</c:v>
                </c:pt>
                <c:pt idx="4">
                  <c:v>82.79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CC-4EA9-84F8-942187A26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483536"/>
        <c:axId val="316160832"/>
      </c:lineChart>
      <c:catAx>
        <c:axId val="13048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0832"/>
        <c:crosses val="autoZero"/>
        <c:auto val="0"/>
        <c:lblAlgn val="ctr"/>
        <c:lblOffset val="100"/>
        <c:noMultiLvlLbl val="0"/>
      </c:catAx>
      <c:valAx>
        <c:axId val="316160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0483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Payable_Days!$C$3:$G$3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Payable_Days!$C$8:$G$8</c:f>
              <c:numCache>
                <c:formatCode>General</c:formatCode>
                <c:ptCount val="5"/>
                <c:pt idx="0">
                  <c:v>558.01</c:v>
                </c:pt>
                <c:pt idx="1">
                  <c:v>467.61</c:v>
                </c:pt>
                <c:pt idx="2">
                  <c:v>431.45</c:v>
                </c:pt>
                <c:pt idx="3">
                  <c:v>394.43</c:v>
                </c:pt>
                <c:pt idx="4">
                  <c:v>354.45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81-4D24-9C87-CF68E5136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07120"/>
        <c:axId val="316161664"/>
      </c:lineChart>
      <c:catAx>
        <c:axId val="24320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1664"/>
        <c:crosses val="autoZero"/>
        <c:auto val="0"/>
        <c:lblAlgn val="ctr"/>
        <c:lblOffset val="100"/>
        <c:noMultiLvlLbl val="0"/>
      </c:catAx>
      <c:valAx>
        <c:axId val="316161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3207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Receivable_Days!$C$3:$G$3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Receivable_Days!$C$8:$G$8</c:f>
              <c:numCache>
                <c:formatCode>General</c:formatCode>
                <c:ptCount val="5"/>
                <c:pt idx="0">
                  <c:v>41.67</c:v>
                </c:pt>
                <c:pt idx="1">
                  <c:v>36.25</c:v>
                </c:pt>
                <c:pt idx="2">
                  <c:v>34.4</c:v>
                </c:pt>
                <c:pt idx="3">
                  <c:v>27.87</c:v>
                </c:pt>
                <c:pt idx="4">
                  <c:v>21.01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F6-43E6-9493-C90E3C60D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07520"/>
        <c:axId val="316162496"/>
      </c:lineChart>
      <c:catAx>
        <c:axId val="2432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2496"/>
        <c:crosses val="autoZero"/>
        <c:auto val="0"/>
        <c:lblAlgn val="ctr"/>
        <c:lblOffset val="100"/>
        <c:noMultiLvlLbl val="0"/>
      </c:catAx>
      <c:valAx>
        <c:axId val="316162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43207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Operating_Cycle!$C$3:$G$3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Operating_Cycle!$C$12:$G$12</c:f>
              <c:numCache>
                <c:formatCode>.00</c:formatCode>
                <c:ptCount val="5"/>
                <c:pt idx="0">
                  <c:v>627.13</c:v>
                </c:pt>
                <c:pt idx="1">
                  <c:v>545.20000000000005</c:v>
                </c:pt>
                <c:pt idx="2">
                  <c:v>509.94</c:v>
                </c:pt>
                <c:pt idx="3">
                  <c:v>469.12</c:v>
                </c:pt>
                <c:pt idx="4">
                  <c:v>437.24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97-4FB3-AA9C-E6DD5E6A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07920"/>
        <c:axId val="316163328"/>
      </c:lineChart>
      <c:catAx>
        <c:axId val="24320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3328"/>
        <c:crosses val="autoZero"/>
        <c:auto val="0"/>
        <c:lblAlgn val="ctr"/>
        <c:lblOffset val="100"/>
        <c:noMultiLvlLbl val="0"/>
      </c:catAx>
      <c:valAx>
        <c:axId val="316163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243207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49D-449A-9F2E-5FE92306BE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Cash_Conversion_Cycle_Days!$C$3:$G$3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Cash_Conversion_Cycle_Days!$C$16:$G$16</c:f>
              <c:numCache>
                <c:formatCode>.00</c:formatCode>
                <c:ptCount val="5"/>
                <c:pt idx="0">
                  <c:v>-69.12</c:v>
                </c:pt>
                <c:pt idx="1">
                  <c:v>-77.59</c:v>
                </c:pt>
                <c:pt idx="2">
                  <c:v>-78.489999999999995</c:v>
                </c:pt>
                <c:pt idx="3">
                  <c:v>-74.69</c:v>
                </c:pt>
                <c:pt idx="4">
                  <c:v>-82.79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9D-449A-9F2E-5FE92306BE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208320"/>
        <c:axId val="316164160"/>
      </c:lineChart>
      <c:catAx>
        <c:axId val="24320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4160"/>
        <c:crosses val="autoZero"/>
        <c:auto val="0"/>
        <c:lblAlgn val="ctr"/>
        <c:lblOffset val="100"/>
        <c:noMultiLvlLbl val="0"/>
      </c:catAx>
      <c:valAx>
        <c:axId val="316164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243208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41457.549999999996</c:v>
                </c:pt>
                <c:pt idx="1">
                  <c:v>45431.53</c:v>
                </c:pt>
                <c:pt idx="2">
                  <c:v>70488.25</c:v>
                </c:pt>
                <c:pt idx="3">
                  <c:v>79911.299999999988</c:v>
                </c:pt>
                <c:pt idx="4">
                  <c:v>79347.149999999965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D3-4AF7-B35A-85956CE71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031600"/>
        <c:axId val="31616499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175236.44</c:v>
                </c:pt>
                <c:pt idx="1">
                  <c:v>180945.45</c:v>
                </c:pt>
                <c:pt idx="2">
                  <c:v>219375.57</c:v>
                </c:pt>
                <c:pt idx="3">
                  <c:v>244568.61</c:v>
                </c:pt>
                <c:pt idx="4">
                  <c:v>256190.3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D3-4AF7-B35A-85956CE71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031600"/>
        <c:axId val="316164992"/>
      </c:lineChart>
      <c:catAx>
        <c:axId val="24303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4992"/>
        <c:crosses val="autoZero"/>
        <c:auto val="1"/>
        <c:lblAlgn val="ctr"/>
        <c:lblOffset val="100"/>
        <c:noMultiLvlLbl val="0"/>
      </c:catAx>
      <c:valAx>
        <c:axId val="316164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30316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19137.399999999994</c:v>
                </c:pt>
                <c:pt idx="1">
                  <c:v>22920.020000000004</c:v>
                </c:pt>
                <c:pt idx="2">
                  <c:v>31483.380000000005</c:v>
                </c:pt>
                <c:pt idx="3">
                  <c:v>32633.75999999998</c:v>
                </c:pt>
                <c:pt idx="4">
                  <c:v>18379.199999999983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29-4697-8985-53407B245A1D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13831.049999999994</c:v>
                </c:pt>
                <c:pt idx="1">
                  <c:v>17247.140000000003</c:v>
                </c:pt>
                <c:pt idx="2">
                  <c:v>25521.720000000005</c:v>
                </c:pt>
                <c:pt idx="3">
                  <c:v>25291.929999999978</c:v>
                </c:pt>
                <c:pt idx="4">
                  <c:v>9938.469999999983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29-4697-8985-53407B245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032000"/>
        <c:axId val="316165824"/>
      </c:barChart>
      <c:catAx>
        <c:axId val="243032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5824"/>
        <c:crosses val="autoZero"/>
        <c:auto val="1"/>
        <c:lblAlgn val="ctr"/>
        <c:lblOffset val="100"/>
        <c:noMultiLvlLbl val="0"/>
      </c:catAx>
      <c:valAx>
        <c:axId val="316165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30320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2A-42E6-9620-D28BB12C3CB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D2A-42E6-9620-D28BB12C3CB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D2A-42E6-9620-D28BB12C3C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Book_Value__Per_Share!$C$3:$G$3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Book_Value__Per_Share!$C$8:$G$8</c:f>
              <c:numCache>
                <c:formatCode>General</c:formatCode>
                <c:ptCount val="5"/>
                <c:pt idx="0">
                  <c:v>-22.48</c:v>
                </c:pt>
                <c:pt idx="1">
                  <c:v>-385.11</c:v>
                </c:pt>
                <c:pt idx="2">
                  <c:v>344.19</c:v>
                </c:pt>
                <c:pt idx="3">
                  <c:v>651.59</c:v>
                </c:pt>
                <c:pt idx="4">
                  <c:v>779.59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2A-42E6-9620-D28BB12C3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611776"/>
        <c:axId val="308017664"/>
      </c:lineChart>
      <c:catAx>
        <c:axId val="30961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08017664"/>
        <c:crosses val="autoZero"/>
        <c:auto val="0"/>
        <c:lblAlgn val="ctr"/>
        <c:lblOffset val="100"/>
        <c:noMultiLvlLbl val="0"/>
      </c:catAx>
      <c:valAx>
        <c:axId val="30801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96117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58601.880000000005</c:v>
                </c:pt>
                <c:pt idx="1">
                  <c:v>70135.02</c:v>
                </c:pt>
                <c:pt idx="2">
                  <c:v>104945.40000000002</c:v>
                </c:pt>
                <c:pt idx="3">
                  <c:v>119405.01</c:v>
                </c:pt>
                <c:pt idx="4">
                  <c:v>127964.02999999997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CA-409F-8BE5-12EA3B1E99E2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42982.16</c:v>
                </c:pt>
                <c:pt idx="1">
                  <c:v>41531.770000000004</c:v>
                </c:pt>
                <c:pt idx="2">
                  <c:v>48706.84</c:v>
                </c:pt>
                <c:pt idx="3">
                  <c:v>58688.149999999994</c:v>
                </c:pt>
                <c:pt idx="4">
                  <c:v>51705.72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CA-409F-8BE5-12EA3B1E9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3032400"/>
        <c:axId val="316166656"/>
      </c:barChart>
      <c:catAx>
        <c:axId val="243032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6656"/>
        <c:crosses val="autoZero"/>
        <c:auto val="1"/>
        <c:lblAlgn val="ctr"/>
        <c:lblOffset val="100"/>
        <c:noMultiLvlLbl val="0"/>
      </c:catAx>
      <c:valAx>
        <c:axId val="31616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30324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Long_And_Short_Term_Provisions!$C$4:$G$4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Long_And_Short_Term_Provisions!$C$5:$G$5</c:f>
              <c:numCache>
                <c:formatCode>.00</c:formatCode>
                <c:ptCount val="5"/>
                <c:pt idx="0">
                  <c:v>4440.4799999999996</c:v>
                </c:pt>
                <c:pt idx="1">
                  <c:v>4279.6899999999996</c:v>
                </c:pt>
                <c:pt idx="2">
                  <c:v>4338.24</c:v>
                </c:pt>
                <c:pt idx="3">
                  <c:v>4046.21</c:v>
                </c:pt>
                <c:pt idx="4">
                  <c:v>4235.07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36A-45E1-B049-47F8FBF87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3032800"/>
        <c:axId val="31616748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Long_And_Short_Term_Provisions!$C$6:$G$6</c:f>
              <c:numCache>
                <c:formatCode>.00</c:formatCode>
                <c:ptCount val="5"/>
                <c:pt idx="0">
                  <c:v>1521.86</c:v>
                </c:pt>
                <c:pt idx="1">
                  <c:v>987.38</c:v>
                </c:pt>
                <c:pt idx="2">
                  <c:v>1269.6400000000001</c:v>
                </c:pt>
                <c:pt idx="3">
                  <c:v>1248.72</c:v>
                </c:pt>
                <c:pt idx="4">
                  <c:v>1663.67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6A-45E1-B049-47F8FBF870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903584"/>
        <c:axId val="316167904"/>
      </c:lineChart>
      <c:catAx>
        <c:axId val="24303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6167488"/>
        <c:crosses val="autoZero"/>
        <c:auto val="1"/>
        <c:lblAlgn val="ctr"/>
        <c:lblOffset val="100"/>
        <c:noMultiLvlLbl val="0"/>
      </c:catAx>
      <c:valAx>
        <c:axId val="316167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3032800"/>
        <c:crosses val="autoZero"/>
        <c:crossBetween val="between"/>
      </c:valAx>
      <c:valAx>
        <c:axId val="3161679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242903584"/>
        <c:crosses val="max"/>
        <c:crossBetween val="between"/>
      </c:valAx>
      <c:catAx>
        <c:axId val="242903584"/>
        <c:scaling>
          <c:orientation val="minMax"/>
        </c:scaling>
        <c:delete val="1"/>
        <c:axPos val="b"/>
        <c:majorTickMark val="out"/>
        <c:minorTickMark val="none"/>
        <c:tickLblPos val="nextTo"/>
        <c:crossAx val="3161679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28114.9</c:v>
                </c:pt>
                <c:pt idx="1">
                  <c:v>32418.09</c:v>
                </c:pt>
                <c:pt idx="2">
                  <c:v>41205.43</c:v>
                </c:pt>
                <c:pt idx="3">
                  <c:v>54309.07</c:v>
                </c:pt>
                <c:pt idx="4">
                  <c:v>53244.21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F8-403D-B33F-1E8BC94C9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903184"/>
        <c:axId val="31616873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F8-403D-B33F-1E8BC94C9A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904384"/>
        <c:axId val="316169152"/>
      </c:lineChart>
      <c:catAx>
        <c:axId val="24290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16168736"/>
        <c:crosses val="autoZero"/>
        <c:auto val="1"/>
        <c:lblAlgn val="ctr"/>
        <c:lblOffset val="100"/>
        <c:noMultiLvlLbl val="0"/>
      </c:catAx>
      <c:valAx>
        <c:axId val="316168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2903184"/>
        <c:crosses val="autoZero"/>
        <c:crossBetween val="between"/>
      </c:valAx>
      <c:valAx>
        <c:axId val="3161691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242904384"/>
        <c:crosses val="max"/>
        <c:crossBetween val="between"/>
      </c:valAx>
      <c:catAx>
        <c:axId val="242904384"/>
        <c:scaling>
          <c:orientation val="minMax"/>
        </c:scaling>
        <c:delete val="1"/>
        <c:axPos val="b"/>
        <c:majorTickMark val="out"/>
        <c:minorTickMark val="none"/>
        <c:tickLblPos val="nextTo"/>
        <c:crossAx val="31616915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Gross_Sales_In_Total_Income!$C$4:$G$4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Gross_Sales_In_Total_Income!$C$5:$G$5</c:f>
              <c:numCache>
                <c:formatCode>.00</c:formatCode>
                <c:ptCount val="5"/>
                <c:pt idx="0">
                  <c:v>105683.18</c:v>
                </c:pt>
                <c:pt idx="1">
                  <c:v>116682.57</c:v>
                </c:pt>
                <c:pt idx="2">
                  <c:v>131741.49</c:v>
                </c:pt>
                <c:pt idx="3">
                  <c:v>154691.84</c:v>
                </c:pt>
                <c:pt idx="4">
                  <c:v>136976.76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BA-41C2-8544-C5BBF4D40AA3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Gross_Sales_In_Total_Income!$C$6:$G$6</c:f>
              <c:numCache>
                <c:formatCode>.00</c:formatCode>
                <c:ptCount val="5"/>
                <c:pt idx="0">
                  <c:v>106095.4</c:v>
                </c:pt>
                <c:pt idx="1">
                  <c:v>112089.52</c:v>
                </c:pt>
                <c:pt idx="2">
                  <c:v>131790.32</c:v>
                </c:pt>
                <c:pt idx="3">
                  <c:v>156112.21</c:v>
                </c:pt>
                <c:pt idx="4">
                  <c:v>138820.25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BA-41C2-8544-C5BBF4D40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42903984"/>
        <c:axId val="316169984"/>
      </c:barChart>
      <c:catAx>
        <c:axId val="24290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6169984"/>
        <c:crosses val="autoZero"/>
        <c:auto val="1"/>
        <c:lblAlgn val="ctr"/>
        <c:lblOffset val="100"/>
        <c:noMultiLvlLbl val="0"/>
      </c:catAx>
      <c:valAx>
        <c:axId val="31616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429039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175236.44</c:v>
                </c:pt>
                <c:pt idx="1">
                  <c:v>180945.45</c:v>
                </c:pt>
                <c:pt idx="2">
                  <c:v>219375.57</c:v>
                </c:pt>
                <c:pt idx="3">
                  <c:v>244568.61</c:v>
                </c:pt>
                <c:pt idx="4">
                  <c:v>256190.3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E93-4528-AB5C-313C88D3F7A8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90015.79</c:v>
                </c:pt>
                <c:pt idx="1">
                  <c:v>92380.449999999983</c:v>
                </c:pt>
                <c:pt idx="2">
                  <c:v>99243.96</c:v>
                </c:pt>
                <c:pt idx="3">
                  <c:v>103604.7</c:v>
                </c:pt>
                <c:pt idx="4">
                  <c:v>122550.83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E93-4528-AB5C-313C88D3F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476544"/>
        <c:axId val="323377712"/>
      </c:barChart>
      <c:catAx>
        <c:axId val="31147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77712"/>
        <c:crosses val="autoZero"/>
        <c:auto val="1"/>
        <c:lblAlgn val="ctr"/>
        <c:lblOffset val="100"/>
        <c:noMultiLvlLbl val="0"/>
      </c:catAx>
      <c:valAx>
        <c:axId val="323377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14765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175236.44</c:v>
                </c:pt>
                <c:pt idx="1">
                  <c:v>180945.45</c:v>
                </c:pt>
                <c:pt idx="2">
                  <c:v>219375.57</c:v>
                </c:pt>
                <c:pt idx="3">
                  <c:v>244568.61</c:v>
                </c:pt>
                <c:pt idx="4">
                  <c:v>256190.3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5F-49CC-BEAE-B0F22FC8AB70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42982.16</c:v>
                </c:pt>
                <c:pt idx="1">
                  <c:v>41531.770000000004</c:v>
                </c:pt>
                <c:pt idx="2">
                  <c:v>48706.84</c:v>
                </c:pt>
                <c:pt idx="3">
                  <c:v>58688.149999999994</c:v>
                </c:pt>
                <c:pt idx="4">
                  <c:v>51705.72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5F-49CC-BEAE-B0F22FC8A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8705168"/>
        <c:axId val="323378544"/>
      </c:barChart>
      <c:catAx>
        <c:axId val="31870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78544"/>
        <c:crosses val="autoZero"/>
        <c:auto val="1"/>
        <c:lblAlgn val="ctr"/>
        <c:lblOffset val="100"/>
        <c:noMultiLvlLbl val="0"/>
      </c:catAx>
      <c:valAx>
        <c:axId val="323378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87051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175236.44000000003</c:v>
                </c:pt>
                <c:pt idx="1">
                  <c:v>180945.45</c:v>
                </c:pt>
                <c:pt idx="2">
                  <c:v>219375.57</c:v>
                </c:pt>
                <c:pt idx="3">
                  <c:v>244568.61</c:v>
                </c:pt>
                <c:pt idx="4">
                  <c:v>256190.29999999993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E3-4C2F-84AC-1E96848D8939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116634.56000000003</c:v>
                </c:pt>
                <c:pt idx="1">
                  <c:v>110810.43</c:v>
                </c:pt>
                <c:pt idx="2">
                  <c:v>114430.17</c:v>
                </c:pt>
                <c:pt idx="3">
                  <c:v>125163.6</c:v>
                </c:pt>
                <c:pt idx="4">
                  <c:v>128226.26999999997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E3-4C2F-84AC-1E96848D8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9214336"/>
        <c:axId val="323379376"/>
      </c:barChart>
      <c:catAx>
        <c:axId val="31921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79376"/>
        <c:crosses val="autoZero"/>
        <c:auto val="1"/>
        <c:lblAlgn val="ctr"/>
        <c:lblOffset val="100"/>
        <c:noMultiLvlLbl val="0"/>
      </c:catAx>
      <c:valAx>
        <c:axId val="323379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92143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175236.44000000003</c:v>
                </c:pt>
                <c:pt idx="1">
                  <c:v>180945.45</c:v>
                </c:pt>
                <c:pt idx="2">
                  <c:v>219375.57</c:v>
                </c:pt>
                <c:pt idx="3">
                  <c:v>244568.61</c:v>
                </c:pt>
                <c:pt idx="4">
                  <c:v>256190.29999999993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39-4B28-9B4D-338541B21980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58601.880000000005</c:v>
                </c:pt>
                <c:pt idx="1">
                  <c:v>70135.02</c:v>
                </c:pt>
                <c:pt idx="2">
                  <c:v>104945.40000000002</c:v>
                </c:pt>
                <c:pt idx="3">
                  <c:v>119405.01</c:v>
                </c:pt>
                <c:pt idx="4">
                  <c:v>127964.02999999997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39-4B28-9B4D-338541B21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9625664"/>
        <c:axId val="323380208"/>
      </c:barChart>
      <c:catAx>
        <c:axId val="319625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80208"/>
        <c:crosses val="autoZero"/>
        <c:auto val="1"/>
        <c:lblAlgn val="ctr"/>
        <c:lblOffset val="100"/>
        <c:noMultiLvlLbl val="0"/>
      </c:catAx>
      <c:valAx>
        <c:axId val="323380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96256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86958</c:v>
                </c:pt>
                <c:pt idx="1">
                  <c:v>89169.5</c:v>
                </c:pt>
                <c:pt idx="2">
                  <c:v>100306.94</c:v>
                </c:pt>
                <c:pt idx="3">
                  <c:v>123478.45000000001</c:v>
                </c:pt>
                <c:pt idx="4">
                  <c:v>120441.05000000002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C4-460C-9BF6-B522798AC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974416"/>
        <c:axId val="323381040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106095.4</c:v>
                </c:pt>
                <c:pt idx="1">
                  <c:v>112089.52</c:v>
                </c:pt>
                <c:pt idx="2">
                  <c:v>131790.32</c:v>
                </c:pt>
                <c:pt idx="3">
                  <c:v>156112.21</c:v>
                </c:pt>
                <c:pt idx="4">
                  <c:v>138820.25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C4-460C-9BF6-B522798AC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975216"/>
        <c:axId val="323381456"/>
      </c:lineChart>
      <c:catAx>
        <c:axId val="31997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81040"/>
        <c:crosses val="autoZero"/>
        <c:auto val="1"/>
        <c:lblAlgn val="ctr"/>
        <c:lblOffset val="100"/>
        <c:noMultiLvlLbl val="0"/>
      </c:catAx>
      <c:valAx>
        <c:axId val="323381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9974416"/>
        <c:crosses val="autoZero"/>
        <c:crossBetween val="between"/>
      </c:valAx>
      <c:valAx>
        <c:axId val="3233814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319975216"/>
        <c:crosses val="max"/>
        <c:crossBetween val="between"/>
      </c:valAx>
      <c:catAx>
        <c:axId val="319975216"/>
        <c:scaling>
          <c:orientation val="minMax"/>
        </c:scaling>
        <c:delete val="1"/>
        <c:axPos val="b"/>
        <c:majorTickMark val="out"/>
        <c:minorTickMark val="none"/>
        <c:tickLblPos val="nextTo"/>
        <c:crossAx val="32338145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Net_Profit_CF_To_Balance_Sheet!$C$4:$G$4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Net_Profit_CF_To_Balance_Sheet!$C$5:$G$5</c:f>
              <c:numCache>
                <c:formatCode>.00</c:formatCode>
                <c:ptCount val="5"/>
                <c:pt idx="0">
                  <c:v>11983.789999999995</c:v>
                </c:pt>
                <c:pt idx="1">
                  <c:v>3973.9800000000027</c:v>
                </c:pt>
                <c:pt idx="2">
                  <c:v>24882.010000000002</c:v>
                </c:pt>
                <c:pt idx="3">
                  <c:v>9423.0599999999777</c:v>
                </c:pt>
                <c:pt idx="4">
                  <c:v>-564.16000000001748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F6-4B3C-B6B5-782BCDE7A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975616"/>
        <c:axId val="323382288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Net_Profit_CF_To_Balance_Sheet!$C$6:$G$6</c:f>
              <c:numCache>
                <c:formatCode>.00</c:formatCode>
                <c:ptCount val="5"/>
                <c:pt idx="0">
                  <c:v>12910.059999999994</c:v>
                </c:pt>
                <c:pt idx="1">
                  <c:v>5072.7000000000025</c:v>
                </c:pt>
                <c:pt idx="2">
                  <c:v>26213.660000000003</c:v>
                </c:pt>
                <c:pt idx="3">
                  <c:v>10792.429999999978</c:v>
                </c:pt>
                <c:pt idx="4">
                  <c:v>1221.3699999999826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F6-4B3C-B6B5-782BCDE7A8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976416"/>
        <c:axId val="323382704"/>
      </c:lineChart>
      <c:catAx>
        <c:axId val="31997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23382288"/>
        <c:crosses val="autoZero"/>
        <c:auto val="1"/>
        <c:lblAlgn val="ctr"/>
        <c:lblOffset val="100"/>
        <c:noMultiLvlLbl val="0"/>
      </c:catAx>
      <c:valAx>
        <c:axId val="323382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9975616"/>
        <c:crosses val="autoZero"/>
        <c:crossBetween val="between"/>
      </c:valAx>
      <c:valAx>
        <c:axId val="3233827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319976416"/>
        <c:crosses val="max"/>
        <c:crossBetween val="between"/>
      </c:valAx>
      <c:catAx>
        <c:axId val="319976416"/>
        <c:scaling>
          <c:orientation val="minMax"/>
        </c:scaling>
        <c:delete val="1"/>
        <c:axPos val="b"/>
        <c:majorTickMark val="out"/>
        <c:minorTickMark val="none"/>
        <c:tickLblPos val="nextTo"/>
        <c:crossAx val="3233827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260-4E16-84BE-C042AB3AB76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260-4E16-84BE-C042AB3AB76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260-4E16-84BE-C042AB3AB7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Dividend_Pay_Out_Ratio!$C$3:$G$3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Dividend_Pay_Out_Ratio!$C$12:$G$12</c:f>
              <c:numCache>
                <c:formatCode>General</c:formatCode>
                <c:ptCount val="5"/>
                <c:pt idx="0">
                  <c:v>0.06</c:v>
                </c:pt>
                <c:pt idx="1">
                  <c:v>0.21</c:v>
                </c:pt>
                <c:pt idx="2">
                  <c:v>0.05</c:v>
                </c:pt>
                <c:pt idx="3">
                  <c:v>0.11</c:v>
                </c:pt>
                <c:pt idx="4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60-4E16-84BE-C042AB3AB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603296"/>
        <c:axId val="308018496"/>
      </c:lineChart>
      <c:catAx>
        <c:axId val="2376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08018496"/>
        <c:crosses val="autoZero"/>
        <c:auto val="0"/>
        <c:lblAlgn val="ctr"/>
        <c:lblOffset val="100"/>
        <c:noMultiLvlLbl val="0"/>
      </c:catAx>
      <c:valAx>
        <c:axId val="308018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3760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424-4E3B-9393-CE4F974569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Dividend_Retention_Ratio!$C$3:$G$3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Dividend_Retention_Ratio!$C$9:$G$9</c:f>
              <c:numCache>
                <c:formatCode>0.00%</c:formatCode>
                <c:ptCount val="5"/>
                <c:pt idx="0">
                  <c:v>1.42</c:v>
                </c:pt>
                <c:pt idx="1">
                  <c:v>9.84</c:v>
                </c:pt>
                <c:pt idx="2">
                  <c:v>-5.04</c:v>
                </c:pt>
                <c:pt idx="3">
                  <c:v>-8.33</c:v>
                </c:pt>
                <c:pt idx="4">
                  <c:v>-13.62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24-4E3B-9393-CE4F97456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611376"/>
        <c:axId val="129565216"/>
      </c:lineChart>
      <c:catAx>
        <c:axId val="309611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29565216"/>
        <c:crosses val="autoZero"/>
        <c:auto val="0"/>
        <c:lblAlgn val="ctr"/>
        <c:lblOffset val="100"/>
        <c:noMultiLvlLbl val="0"/>
      </c:catAx>
      <c:valAx>
        <c:axId val="129565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09611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D6-40E4-B84B-AD212CDCBF0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CD6-40E4-B84B-AD212CDCBF0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CD6-40E4-B84B-AD212CDCBF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Gross_Profit!$C$3:$G$3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Gross_Profit!$C$8:$G$8</c:f>
              <c:numCache>
                <c:formatCode>.00</c:formatCode>
                <c:ptCount val="5"/>
                <c:pt idx="0">
                  <c:v>77568.28</c:v>
                </c:pt>
                <c:pt idx="1">
                  <c:v>84264.48</c:v>
                </c:pt>
                <c:pt idx="2">
                  <c:v>90536.06</c:v>
                </c:pt>
                <c:pt idx="3">
                  <c:v>100382.77</c:v>
                </c:pt>
                <c:pt idx="4">
                  <c:v>83732.55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D6-40E4-B84B-AD212CDCB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612176"/>
        <c:axId val="311088816"/>
      </c:lineChart>
      <c:catAx>
        <c:axId val="309612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1088816"/>
        <c:crosses val="autoZero"/>
        <c:auto val="0"/>
        <c:lblAlgn val="ctr"/>
        <c:lblOffset val="100"/>
        <c:noMultiLvlLbl val="0"/>
      </c:catAx>
      <c:valAx>
        <c:axId val="311088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09612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84-4BE8-AE24-0E36002099C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184-4BE8-AE24-0E36002099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Net_Profit!$C$3:$G$3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Net_Profit!$C$8:$G$8</c:f>
              <c:numCache>
                <c:formatCode>.00</c:formatCode>
                <c:ptCount val="5"/>
                <c:pt idx="0">
                  <c:v>18725.18</c:v>
                </c:pt>
                <c:pt idx="1">
                  <c:v>27513.07</c:v>
                </c:pt>
                <c:pt idx="2">
                  <c:v>31434.55</c:v>
                </c:pt>
                <c:pt idx="3">
                  <c:v>31213.39</c:v>
                </c:pt>
                <c:pt idx="4">
                  <c:v>16535.71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84-4BE8-AE24-0E3600209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9612576"/>
        <c:axId val="312350496"/>
      </c:lineChart>
      <c:catAx>
        <c:axId val="3096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0496"/>
        <c:crosses val="autoZero"/>
        <c:auto val="0"/>
        <c:lblAlgn val="ctr"/>
        <c:lblOffset val="100"/>
        <c:noMultiLvlLbl val="0"/>
      </c:catAx>
      <c:valAx>
        <c:axId val="312350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09612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47-4ACD-8C39-7157FE5861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Return_On_Assets!$C$3:$G$3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Return_On_Assets!$C$8:$G$8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0.03</c:v>
                </c:pt>
                <c:pt idx="2">
                  <c:v>0.12</c:v>
                </c:pt>
                <c:pt idx="3">
                  <c:v>0.04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47-4ACD-8C39-7157FE58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190000"/>
        <c:axId val="312351328"/>
      </c:lineChart>
      <c:catAx>
        <c:axId val="30819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1328"/>
        <c:crosses val="autoZero"/>
        <c:auto val="0"/>
        <c:lblAlgn val="ctr"/>
        <c:lblOffset val="100"/>
        <c:noMultiLvlLbl val="0"/>
      </c:catAx>
      <c:valAx>
        <c:axId val="312351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08190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65F-4AC4-90B4-BB4889CAF5C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65F-4AC4-90B4-BB4889CAF5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Return_On_Capital_Employeed!$C$3:$G$3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</c:numCache>
            </c:numRef>
          </c:cat>
          <c:val>
            <c:numRef>
              <c:f>Return_On_Capital_Employeed!$C$9:$G$9</c:f>
              <c:numCache>
                <c:formatCode>0.00%</c:formatCode>
                <c:ptCount val="5"/>
                <c:pt idx="0">
                  <c:v>0.08</c:v>
                </c:pt>
                <c:pt idx="1">
                  <c:v>0.09</c:v>
                </c:pt>
                <c:pt idx="2">
                  <c:v>0.13</c:v>
                </c:pt>
                <c:pt idx="3">
                  <c:v>0.12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5F-4AC4-90B4-BB4889CAF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8190400"/>
        <c:axId val="312352160"/>
      </c:lineChart>
      <c:catAx>
        <c:axId val="30819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12352160"/>
        <c:crosses val="autoZero"/>
        <c:auto val="0"/>
        <c:lblAlgn val="ctr"/>
        <c:lblOffset val="100"/>
        <c:noMultiLvlLbl val="0"/>
      </c:catAx>
      <c:valAx>
        <c:axId val="312352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08190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8FC353-2CF8-4E9A-A587-1F99C70EF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35003D-00F6-451A-9C96-9F89EB3A9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D585C2-B2ED-4BD6-B7EA-C0059F4174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914FF0-986F-4B69-A09C-07B6A0DCE8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B1E8CC-F583-4CDE-BCCB-29E5EDBDFC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0006DE-99A1-4167-9BE8-9614AC6762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1CE9D-4E6C-4268-A0AD-6771AE4179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6795F4-33F6-4649-9A55-E40D8EEBB1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BC582D-A458-46FA-BD03-FFE2FB1F5E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582006-EC0D-4375-930E-96ADA5124C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303BD6-CAD6-4526-BE06-9F3409B86E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C0C8F8-2310-4D55-B6AE-6EAF0EC776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3B6985-09AA-44F1-84A7-33C2F39B24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F80212-D9AC-4506-B435-6150663614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C31CCF-A912-42FD-9258-E80E107C70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5946C-9F68-4DDD-8BB0-C78F639595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7ADD9B-B12B-4D5A-ADE3-5482F04CEF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2A0088-1E20-4E9B-8EE3-249E6950C0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1CAB6E-8796-4D17-A369-F4F19F27BC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DCBC3F-9228-4509-A5A7-7CCB4CD175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959757B3-6626-49ED-A97B-81628021B3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E28AF3AB-EF95-459E-99E0-1DF03A0E75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805655-F9F0-4F5D-BD18-1D920E4C57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61B475B9-A502-4EBC-B3D1-6AADFAC60B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B4E02590-C86C-49E5-8CF3-42E26A7E5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4CD5EC22-8A09-42E8-A6EA-B68D23BC9D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465751F-1F6D-45B6-855D-C996200952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F73E627F-8428-4223-B8E0-C15E6411D0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B94CC697-80DB-472E-BE83-ED6F61FBC2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5AF8CB04-AC04-4E9F-92F4-B38BDFB0EA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23027C3-97C3-42BB-98E2-AB072A63B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8E62FF6-3944-4A3E-8A9D-0581FD1EB1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80F7F739-766E-4B2E-9E2A-0FDB55A900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A95CF-5843-4799-8ED7-E57FA843E4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34051F-0FFC-442C-864C-B5CF45F814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9DB92F-84E7-49F9-A1DF-EF8839B0CF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F6C038-F6DD-4A3B-B39D-AF5748620B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1B2F65-247D-4DAC-9868-24D6A96C6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FBB1E8-20E8-48A6-BD75-170B26BFD6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12C13-AE1A-4F07-80F2-E7D36E78FA38}">
  <sheetPr codeName="Sheet48"/>
  <dimension ref="A2:A46"/>
  <sheetViews>
    <sheetView showGridLines="0" tabSelected="1" workbookViewId="0">
      <selection activeCell="A46" sqref="A46"/>
    </sheetView>
  </sheetViews>
  <sheetFormatPr defaultRowHeight="15" x14ac:dyDescent="0.25"/>
  <cols>
    <col min="1" max="1" width="33.140625" bestFit="1" customWidth="1"/>
  </cols>
  <sheetData>
    <row r="2" spans="1:1" x14ac:dyDescent="0.25">
      <c r="A2" s="32" t="s">
        <v>202</v>
      </c>
    </row>
    <row r="3" spans="1:1" x14ac:dyDescent="0.25">
      <c r="A3" s="32" t="s">
        <v>204</v>
      </c>
    </row>
    <row r="4" spans="1:1" x14ac:dyDescent="0.25">
      <c r="A4" s="32" t="s">
        <v>205</v>
      </c>
    </row>
    <row r="5" spans="1:1" x14ac:dyDescent="0.25">
      <c r="A5" s="32" t="s">
        <v>206</v>
      </c>
    </row>
    <row r="6" spans="1:1" x14ac:dyDescent="0.25">
      <c r="A6" s="32" t="s">
        <v>207</v>
      </c>
    </row>
    <row r="7" spans="1:1" x14ac:dyDescent="0.25">
      <c r="A7" s="32" t="s">
        <v>208</v>
      </c>
    </row>
    <row r="8" spans="1:1" x14ac:dyDescent="0.25">
      <c r="A8" s="32" t="s">
        <v>209</v>
      </c>
    </row>
    <row r="9" spans="1:1" x14ac:dyDescent="0.25">
      <c r="A9" s="32" t="s">
        <v>210</v>
      </c>
    </row>
    <row r="10" spans="1:1" x14ac:dyDescent="0.25">
      <c r="A10" s="32" t="s">
        <v>211</v>
      </c>
    </row>
    <row r="11" spans="1:1" x14ac:dyDescent="0.25">
      <c r="A11" s="32" t="s">
        <v>212</v>
      </c>
    </row>
    <row r="12" spans="1:1" x14ac:dyDescent="0.25">
      <c r="A12" s="32" t="s">
        <v>213</v>
      </c>
    </row>
    <row r="13" spans="1:1" x14ac:dyDescent="0.25">
      <c r="A13" s="32" t="s">
        <v>214</v>
      </c>
    </row>
    <row r="14" spans="1:1" x14ac:dyDescent="0.25">
      <c r="A14" s="32" t="s">
        <v>215</v>
      </c>
    </row>
    <row r="15" spans="1:1" x14ac:dyDescent="0.25">
      <c r="A15" s="32" t="s">
        <v>216</v>
      </c>
    </row>
    <row r="16" spans="1:1" x14ac:dyDescent="0.25">
      <c r="A16" s="32" t="s">
        <v>217</v>
      </c>
    </row>
    <row r="17" spans="1:1" x14ac:dyDescent="0.25">
      <c r="A17" s="32" t="s">
        <v>218</v>
      </c>
    </row>
    <row r="18" spans="1:1" x14ac:dyDescent="0.25">
      <c r="A18" s="32" t="s">
        <v>219</v>
      </c>
    </row>
    <row r="19" spans="1:1" x14ac:dyDescent="0.25">
      <c r="A19" s="32" t="s">
        <v>220</v>
      </c>
    </row>
    <row r="20" spans="1:1" x14ac:dyDescent="0.25">
      <c r="A20" s="32" t="s">
        <v>221</v>
      </c>
    </row>
    <row r="21" spans="1:1" x14ac:dyDescent="0.25">
      <c r="A21" s="32" t="s">
        <v>222</v>
      </c>
    </row>
    <row r="22" spans="1:1" x14ac:dyDescent="0.25">
      <c r="A22" s="32" t="s">
        <v>223</v>
      </c>
    </row>
    <row r="23" spans="1:1" x14ac:dyDescent="0.25">
      <c r="A23" s="32" t="s">
        <v>224</v>
      </c>
    </row>
    <row r="24" spans="1:1" x14ac:dyDescent="0.25">
      <c r="A24" s="32" t="s">
        <v>225</v>
      </c>
    </row>
    <row r="25" spans="1:1" x14ac:dyDescent="0.25">
      <c r="A25" s="32" t="s">
        <v>226</v>
      </c>
    </row>
    <row r="26" spans="1:1" x14ac:dyDescent="0.25">
      <c r="A26" s="32" t="s">
        <v>227</v>
      </c>
    </row>
    <row r="27" spans="1:1" x14ac:dyDescent="0.25">
      <c r="A27" s="32" t="s">
        <v>228</v>
      </c>
    </row>
    <row r="28" spans="1:1" x14ac:dyDescent="0.25">
      <c r="A28" s="32" t="s">
        <v>229</v>
      </c>
    </row>
    <row r="29" spans="1:1" x14ac:dyDescent="0.25">
      <c r="A29" s="32" t="s">
        <v>230</v>
      </c>
    </row>
    <row r="30" spans="1:1" x14ac:dyDescent="0.25">
      <c r="A30" s="32" t="s">
        <v>231</v>
      </c>
    </row>
    <row r="31" spans="1:1" x14ac:dyDescent="0.25">
      <c r="A31" s="32" t="s">
        <v>232</v>
      </c>
    </row>
    <row r="32" spans="1:1" x14ac:dyDescent="0.25">
      <c r="A32" s="32" t="s">
        <v>233</v>
      </c>
    </row>
    <row r="33" spans="1:1" x14ac:dyDescent="0.25">
      <c r="A33" s="32" t="s">
        <v>234</v>
      </c>
    </row>
    <row r="34" spans="1:1" x14ac:dyDescent="0.25">
      <c r="A34" s="32" t="s">
        <v>235</v>
      </c>
    </row>
    <row r="35" spans="1:1" x14ac:dyDescent="0.25">
      <c r="A35" s="32" t="s">
        <v>236</v>
      </c>
    </row>
    <row r="36" spans="1:1" x14ac:dyDescent="0.25">
      <c r="A36" s="32" t="s">
        <v>237</v>
      </c>
    </row>
    <row r="37" spans="1:1" x14ac:dyDescent="0.25">
      <c r="A37" s="32" t="s">
        <v>238</v>
      </c>
    </row>
    <row r="38" spans="1:1" x14ac:dyDescent="0.25">
      <c r="A38" s="32" t="s">
        <v>239</v>
      </c>
    </row>
    <row r="39" spans="1:1" x14ac:dyDescent="0.25">
      <c r="A39" s="32" t="s">
        <v>240</v>
      </c>
    </row>
    <row r="40" spans="1:1" x14ac:dyDescent="0.25">
      <c r="A40" s="32" t="s">
        <v>241</v>
      </c>
    </row>
    <row r="41" spans="1:1" x14ac:dyDescent="0.25">
      <c r="A41" s="32" t="s">
        <v>242</v>
      </c>
    </row>
    <row r="42" spans="1:1" x14ac:dyDescent="0.25">
      <c r="A42" s="32" t="s">
        <v>243</v>
      </c>
    </row>
    <row r="43" spans="1:1" x14ac:dyDescent="0.25">
      <c r="A43" s="32" t="s">
        <v>244</v>
      </c>
    </row>
    <row r="44" spans="1:1" x14ac:dyDescent="0.25">
      <c r="A44" s="32" t="s">
        <v>245</v>
      </c>
    </row>
    <row r="45" spans="1:1" x14ac:dyDescent="0.25">
      <c r="A45" s="32" t="s">
        <v>246</v>
      </c>
    </row>
    <row r="46" spans="1:1" x14ac:dyDescent="0.25">
      <c r="A46" s="32" t="s">
        <v>247</v>
      </c>
    </row>
  </sheetData>
  <hyperlinks>
    <hyperlink ref="A2" location="Income_Statement!A1" tooltip="Hi click here to view the sheet" display="Income_Statement!A1" xr:uid="{5734D255-E0A2-4A60-9E39-36869F93D0BA}"/>
    <hyperlink ref="A3" location="Balance_Sheet!A1" tooltip="Hi click here to view the sheet" display="Balance_Sheet!A1" xr:uid="{B4564D45-8A51-469F-A111-E76DBA07230E}"/>
    <hyperlink ref="A4" location="CashFlow_Statement!A1" tooltip="Hi click here to view the sheet" display="CashFlow_Statement!A1" xr:uid="{21EAFAC7-4C09-4725-8E68-BA96F7FF02EA}"/>
    <hyperlink ref="A5" location="CommonSize_Balance_Sheet!A1" tooltip="Hi click here to view the sheet" display="CommonSize_Balance_Sheet!A1" xr:uid="{225B0027-3BBC-40D4-B22A-7F33D17BA4EB}"/>
    <hyperlink ref="A6" location="CommonSize_Income_Statement!A1" tooltip="Hi click here to view the sheet" display="CommonSize_Income_Statement!A1" xr:uid="{4F6128B2-9F73-4C85-9E46-87A069E071DF}"/>
    <hyperlink ref="A7" location="Ratios!A1" tooltip="Hi click here to view the sheet" display="Ratios!A1" xr:uid="{E867624D-EF24-4209-98A9-B6B38CAB5894}"/>
    <hyperlink ref="A8" location="Earning__Per_Share!A1" tooltip="Hi click here to view the sheet" display="Earning__Per_Share!A1" xr:uid="{594AE73D-10F5-4B58-8B3C-E9D8989963D6}"/>
    <hyperlink ref="A9" location="Equity_Dividend_Per_Share!A1" tooltip="Hi click here to view the sheet" display="Equity_Dividend_Per_Share!A1" xr:uid="{25604996-022D-410D-BEB2-82ABFBF26BE4}"/>
    <hyperlink ref="A10" location="Book_Value__Per_Share!A1" tooltip="Hi click here to view the sheet" display="Book_Value__Per_Share!A1" xr:uid="{54B56ABB-F018-41E8-B3AB-93D129EE4943}"/>
    <hyperlink ref="A11" location="Dividend_Pay_Out_Ratio!A1" tooltip="Hi click here to view the sheet" display="Dividend_Pay_Out_Ratio!A1" xr:uid="{2FF01FA7-5884-4AAD-A93C-429B818AB3F1}"/>
    <hyperlink ref="A12" location="Dividend_Retention_Ratio!A1" tooltip="Hi click here to view the sheet" display="Dividend_Retention_Ratio!A1" xr:uid="{261AF69C-90BF-431E-8DCB-019101BB721D}"/>
    <hyperlink ref="A13" location="Gross_Profit!A1" tooltip="Hi click here to view the sheet" display="Gross_Profit!A1" xr:uid="{CEBDA500-223E-4E21-863E-D8776C072DE6}"/>
    <hyperlink ref="A14" location="Net_Profit!A1" tooltip="Hi click here to view the sheet" display="Net_Profit!A1" xr:uid="{40D9E6A1-1D99-4D7C-90EB-CBD4EFAA4D4E}"/>
    <hyperlink ref="A15" location="Return_On_Assets!A1" tooltip="Hi click here to view the sheet" display="Return_On_Assets!A1" xr:uid="{5A390C44-E88A-41A2-82C5-C3D1D4447DA6}"/>
    <hyperlink ref="A16" location="Return_On_Capital_Employeed!A1" tooltip="Hi click here to view the sheet" display="Return_On_Capital_Employeed!A1" xr:uid="{6AED95A6-48FE-4EFB-A9AB-B446C5C586CE}"/>
    <hyperlink ref="A17" location="Return_On_Equity!A1" tooltip="Hi click here to view the sheet" display="Return_On_Equity!A1" xr:uid="{7A5722E9-4072-49DF-BE1D-702C72E967A9}"/>
    <hyperlink ref="A18" location="Debt_Equity_Ratio!A1" tooltip="Hi click here to view the sheet" display="Debt_Equity_Ratio!A1" xr:uid="{F67BDE64-191F-4882-ABE4-B2920DC7608D}"/>
    <hyperlink ref="A19" location="Current_Ratio!A1" tooltip="Hi click here to view the sheet" display="Current_Ratio!A1" xr:uid="{6067FF05-3E8B-4BB8-9907-0A07D6F91A50}"/>
    <hyperlink ref="A20" location="Quick_Ratio!A1" tooltip="Hi click here to view the sheet" display="Quick_Ratio!A1" xr:uid="{CB598D6A-4884-4367-BD65-900C98F3631D}"/>
    <hyperlink ref="A21" location="Interest_Coverage_Ratio!A1" tooltip="Hi click here to view the sheet" display="Interest_Coverage_Ratio!A1" xr:uid="{8F0ED76A-AF8D-409E-AF11-9DAE288B54A2}"/>
    <hyperlink ref="A22" location="Material_Consumed!A1" tooltip="Hi click here to view the sheet" display="Material_Consumed!A1" xr:uid="{FE4A5FCF-F29B-46F6-ABD7-2B5B9EC1A8D0}"/>
    <hyperlink ref="A23" location="Defensive_Interval_Ratio!A1" tooltip="Hi click here to view the sheet" display="Defensive_Interval_Ratio!A1" xr:uid="{5455199E-15B4-49F3-AB50-1AAD778194A4}"/>
    <hyperlink ref="A24" location="Purchases_Per_Day!A1" tooltip="Hi click here to view the sheet" display="Purchases_Per_Day!A1" xr:uid="{23FDABD9-1861-4727-94C5-B36A6649F1EF}"/>
    <hyperlink ref="A25" location="Asset_TurnOver_Ratio!A1" tooltip="Hi click here to view the sheet" display="Asset_TurnOver_Ratio!A1" xr:uid="{057EDA89-4E3F-41E8-9178-C00C00540327}"/>
    <hyperlink ref="A26" location="Inventory_TurnOver_Ratio!A1" tooltip="Hi click here to view the sheet" display="Inventory_TurnOver_Ratio!A1" xr:uid="{45F325AF-DB31-4A1D-A572-7FB6FF6E95F6}"/>
    <hyperlink ref="A27" location="Debtors_TurnOver_Ratio!A1" tooltip="Hi click here to view the sheet" display="Debtors_TurnOver_Ratio!A1" xr:uid="{5FB5BD1A-7468-4DCE-B0DD-B3C4B4BA6548}"/>
    <hyperlink ref="A28" location="Fixed_Assets_TurnOver_Ratio!A1" tooltip="Hi click here to view the sheet" display="Fixed_Assets_TurnOver_Ratio!A1" xr:uid="{0E275C8E-BCA2-43AF-8120-260B63E0C651}"/>
    <hyperlink ref="A29" location="Payable_TurnOver_Ratio!A1" tooltip="Hi click here to view the sheet" display="Payable_TurnOver_Ratio!A1" xr:uid="{BB3262BB-7CFD-4ACE-9057-0D39D4FCECC7}"/>
    <hyperlink ref="A30" location="Inventory_Days!A1" tooltip="Hi click here to view the sheet" display="Inventory_Days!A1" xr:uid="{CB450F89-F2E5-4E92-985C-77B83B57839A}"/>
    <hyperlink ref="A31" location="Payable_Days!A1" tooltip="Hi click here to view the sheet" display="Payable_Days!A1" xr:uid="{E6639E53-E80D-499B-A494-1DFAA96A7991}"/>
    <hyperlink ref="A32" location="Receivable_Days!A1" tooltip="Hi click here to view the sheet" display="Receivable_Days!A1" xr:uid="{ECB3AF02-BC50-4DD2-9706-697802F441F1}"/>
    <hyperlink ref="A33" location="Operating_Cycle!A1" tooltip="Hi click here to view the sheet" display="Operating_Cycle!A1" xr:uid="{1461604C-146E-42D9-BF36-D92DC31DEF86}"/>
    <hyperlink ref="A34" location="Cash_Conversion_Cycle_Days!A1" tooltip="Hi click here to view the sheet" display="Cash_Conversion_Cycle_Days!A1" xr:uid="{02E584E9-78F1-4830-8C2E-9032BAE159C6}"/>
    <hyperlink ref="A35" location="NetWorthVsTotalLiabilties!A1" tooltip="Hi click here to view the sheet" display="NetWorthVsTotalLiabilties!A1" xr:uid="{0E8EBC5C-FC9C-4030-82F1-75D66920EE97}"/>
    <hyperlink ref="A36" location="PBDITvsPBIT!A1" tooltip="Hi click here to view the sheet" display="PBDITvsPBIT!A1" xr:uid="{1D5A8257-5458-4C82-B23E-B47C59338D8C}"/>
    <hyperlink ref="A37" location="CAvsCL!A1" tooltip="Hi click here to view the sheet" display="CAvsCL!A1" xr:uid="{AAAB7A61-0109-42D5-9F92-8E2A3D49CEB4}"/>
    <hyperlink ref="A38" location="Long_And_Short_Term_Provisions!A1" tooltip="Hi click here to view the sheet" display="Long_And_Short_Term_Provisions!A1" xr:uid="{12A6D911-D1B0-41CD-8AA8-E12E70771A91}"/>
    <hyperlink ref="A39" location="MaterialConsumed_DirectExpenses!A1" tooltip="Hi click here to view the sheet" display="MaterialConsumed_DirectExpenses!A1" xr:uid="{B0462F9C-21D1-42EF-BEBD-BA7216944F30}"/>
    <hyperlink ref="A40" location="Gross_Sales_In_Total_Income!A1" tooltip="Hi click here to view the sheet" display="Gross_Sales_In_Total_Income!A1" xr:uid="{EB26A661-A9C6-4E58-9A35-20396F4799EF}"/>
    <hyperlink ref="A41" location="Total_Debt_In_Liabilities!A1" tooltip="Hi click here to view the sheet" display="Total_Debt_In_Liabilities!A1" xr:uid="{C4908099-097F-4619-9EBA-2FBE7FBBE7D0}"/>
    <hyperlink ref="A42" location="Total_CL_In_Liabilities!A1" tooltip="Hi click here to view the sheet" display="Total_CL_In_Liabilities!A1" xr:uid="{BB39F7CE-EFB1-4562-9370-B55F6A9211DE}"/>
    <hyperlink ref="A43" location="Total_NCA_In_Assets!A1" tooltip="Hi click here to view the sheet" display="Total_NCA_In_Assets!A1" xr:uid="{BB36636F-1395-48F0-9497-64CA580C9DEF}"/>
    <hyperlink ref="A44" location="Total_CA_In_Assets!A1" tooltip="Hi click here to view the sheet" display="Total_CA_In_Assets!A1" xr:uid="{347F0B89-97D4-4F14-855C-91F2607223D7}"/>
    <hyperlink ref="A45" location="TotalExpenditureVsTotalIncome!A1" tooltip="Hi click here to view the sheet" display="TotalExpenditureVsTotalIncome!A1" xr:uid="{BFCD453B-D85E-49FE-A8BA-EDF54E2538DE}"/>
    <hyperlink ref="A46" location="Net_Profit_CF_To_Balance_Sheet!A1" tooltip="Hi click here to view the sheet" display="Net_Profit_CF_To_Balance_Sheet!A1" xr:uid="{2EB5DC0D-2F24-4B62-BDCB-31A7C68F0BE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4EB37-161F-441C-970E-56895DFE504E}">
  <sheetPr codeName="Sheet11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148</v>
      </c>
      <c r="C5" s="16"/>
      <c r="D5" s="16"/>
      <c r="E5" s="16"/>
      <c r="F5" s="16"/>
      <c r="G5" s="16"/>
    </row>
    <row r="6" spans="2:15" ht="18.75" x14ac:dyDescent="0.25">
      <c r="B6" s="17" t="str">
        <f>Balance_Sheet!B9</f>
        <v>Net Worth</v>
      </c>
      <c r="C6" s="18">
        <f>Balance_Sheet!C9</f>
        <v>41457.549999999996</v>
      </c>
      <c r="D6" s="18">
        <f>Balance_Sheet!D9</f>
        <v>45431.53</v>
      </c>
      <c r="E6" s="18">
        <f>Balance_Sheet!E9</f>
        <v>70488.25</v>
      </c>
      <c r="F6" s="18">
        <f>Balance_Sheet!F9</f>
        <v>79911.299999999988</v>
      </c>
      <c r="G6" s="18">
        <f>Balance_Sheet!G9</f>
        <v>79347.149999999965</v>
      </c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</row>
    <row r="8" spans="2:15" ht="18.75" x14ac:dyDescent="0.25">
      <c r="B8" s="19" t="s">
        <v>149</v>
      </c>
      <c r="C8" s="19">
        <f>ROUND(C6/C7, 2)</f>
        <v>-22.48</v>
      </c>
      <c r="D8" s="19">
        <f t="shared" ref="D8:G8" si="0">ROUND(D6/D7, 2)</f>
        <v>-385.11</v>
      </c>
      <c r="E8" s="19">
        <f t="shared" si="0"/>
        <v>344.19</v>
      </c>
      <c r="F8" s="19">
        <f t="shared" si="0"/>
        <v>651.59</v>
      </c>
      <c r="G8" s="19">
        <f t="shared" si="0"/>
        <v>779.59</v>
      </c>
    </row>
  </sheetData>
  <mergeCells count="1">
    <mergeCell ref="B5:G5"/>
  </mergeCells>
  <hyperlinks>
    <hyperlink ref="F1" location="Index_Data!A1" tooltip="Hi click here To return Index page" display="Index_Data!A1" xr:uid="{6D030A69-1672-4F6F-89F9-6691347F6533}"/>
  </hyperlink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505F2-C94E-4AFC-A772-FF5FD19E116F}">
  <sheetPr codeName="Sheet12"/>
  <dimension ref="B1:O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6" width="13.140625" bestFit="1" customWidth="1"/>
    <col min="7" max="7" width="11.57031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150</v>
      </c>
      <c r="C5" s="16"/>
      <c r="D5" s="16"/>
      <c r="E5" s="16"/>
      <c r="F5" s="16"/>
      <c r="G5" s="16"/>
    </row>
    <row r="6" spans="2:15" ht="18.75" x14ac:dyDescent="0.25">
      <c r="B6" s="17" t="str">
        <f>Income_Statement!B28</f>
        <v>Equity Share Dividend</v>
      </c>
      <c r="C6" s="18">
        <f>Income_Statement!C28</f>
        <v>776.97</v>
      </c>
      <c r="D6" s="18">
        <f>Income_Statement!D28</f>
        <v>1043.07</v>
      </c>
      <c r="E6" s="18">
        <f>Income_Statement!E28</f>
        <v>1236.18</v>
      </c>
      <c r="F6" s="18">
        <f>Income_Statement!F28</f>
        <v>1144.76</v>
      </c>
      <c r="G6" s="18">
        <f>Income_Statement!G28</f>
        <v>1488.13</v>
      </c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</row>
    <row r="8" spans="2:15" ht="18.75" x14ac:dyDescent="0.25">
      <c r="B8" s="17" t="s">
        <v>147</v>
      </c>
      <c r="C8" s="18">
        <f>ROUND(C6/C7, 2)</f>
        <v>-0.42</v>
      </c>
      <c r="D8" s="18">
        <f t="shared" ref="D8:G8" si="0">ROUND(D6/D7, 2)</f>
        <v>-8.84</v>
      </c>
      <c r="E8" s="18">
        <f t="shared" si="0"/>
        <v>6.04</v>
      </c>
      <c r="F8" s="18">
        <f t="shared" si="0"/>
        <v>9.33</v>
      </c>
      <c r="G8" s="18">
        <f t="shared" si="0"/>
        <v>14.62</v>
      </c>
    </row>
    <row r="9" spans="2:15" ht="18.75" x14ac:dyDescent="0.25">
      <c r="B9" s="17" t="str">
        <f>Income_Statement!B27</f>
        <v>Reported Net Profit(PAT)</v>
      </c>
      <c r="C9" s="18">
        <f>Income_Statement!C27</f>
        <v>12910.059999999994</v>
      </c>
      <c r="D9" s="18">
        <f>Income_Statement!D27</f>
        <v>5072.7000000000025</v>
      </c>
      <c r="E9" s="18">
        <f>Income_Statement!E27</f>
        <v>26213.660000000003</v>
      </c>
      <c r="F9" s="18">
        <f>Income_Statement!F27</f>
        <v>10792.429999999978</v>
      </c>
      <c r="G9" s="18">
        <f>Income_Statement!G27</f>
        <v>1221.3699999999826</v>
      </c>
    </row>
    <row r="10" spans="2:15" ht="18.75" x14ac:dyDescent="0.25">
      <c r="B10" s="17" t="str">
        <f>Income_Statement!B35</f>
        <v>Total Shares Outstanding(cr)</v>
      </c>
      <c r="C10" s="18">
        <f>Income_Statement!C35</f>
        <v>-1844.2942857142848</v>
      </c>
      <c r="D10" s="18">
        <f>Income_Statement!D35</f>
        <v>-117.96976744186053</v>
      </c>
      <c r="E10" s="18">
        <f>Income_Statement!E35</f>
        <v>204.79421875000003</v>
      </c>
      <c r="F10" s="18">
        <f>Income_Statement!F35</f>
        <v>122.64124999999976</v>
      </c>
      <c r="G10" s="18">
        <f>Income_Statement!G35</f>
        <v>101.78083333333188</v>
      </c>
    </row>
    <row r="11" spans="2:15" ht="18.75" x14ac:dyDescent="0.25">
      <c r="B11" s="17" t="s">
        <v>145</v>
      </c>
      <c r="C11" s="18">
        <f>C9/C10</f>
        <v>-7</v>
      </c>
      <c r="D11" s="18">
        <f t="shared" ref="D11:G11" si="1">D9/D10</f>
        <v>-43</v>
      </c>
      <c r="E11" s="18">
        <f t="shared" si="1"/>
        <v>128</v>
      </c>
      <c r="F11" s="18">
        <f t="shared" si="1"/>
        <v>88</v>
      </c>
      <c r="G11" s="18">
        <f t="shared" si="1"/>
        <v>12</v>
      </c>
    </row>
    <row r="12" spans="2:15" ht="18.75" x14ac:dyDescent="0.25">
      <c r="B12" s="19" t="s">
        <v>151</v>
      </c>
      <c r="C12" s="19">
        <f>ROUND(C8/C11, 2)</f>
        <v>0.06</v>
      </c>
      <c r="D12" s="19">
        <f t="shared" ref="D12:G12" si="2">ROUND(D8/D11, 2)</f>
        <v>0.21</v>
      </c>
      <c r="E12" s="19">
        <f t="shared" si="2"/>
        <v>0.05</v>
      </c>
      <c r="F12" s="19">
        <f t="shared" si="2"/>
        <v>0.11</v>
      </c>
      <c r="G12" s="19">
        <f t="shared" si="2"/>
        <v>1.22</v>
      </c>
    </row>
  </sheetData>
  <mergeCells count="1">
    <mergeCell ref="B5:G5"/>
  </mergeCells>
  <hyperlinks>
    <hyperlink ref="F1" location="Index_Data!A1" tooltip="Hi click here To return Index page" display="Index_Data!A1" xr:uid="{C975369B-73A8-4BC8-BA37-D99B4451CB0C}"/>
  </hyperlink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1A7F3-9E1A-4158-BDEC-CB8C53C5EB80}">
  <sheetPr codeName="Sheet13"/>
  <dimension ref="B1:O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2.5703125" bestFit="1" customWidth="1"/>
    <col min="4" max="4" width="12.42578125" bestFit="1" customWidth="1"/>
    <col min="5" max="6" width="13.5703125" bestFit="1" customWidth="1"/>
    <col min="7" max="7" width="15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152</v>
      </c>
      <c r="C5" s="16"/>
      <c r="D5" s="16"/>
      <c r="E5" s="16"/>
      <c r="F5" s="16"/>
      <c r="G5" s="16"/>
    </row>
    <row r="6" spans="2:15" ht="18.75" x14ac:dyDescent="0.25">
      <c r="B6" s="17" t="str">
        <f>Income_Statement!B28</f>
        <v>Equity Share Dividend</v>
      </c>
      <c r="C6" s="18">
        <f>Income_Statement!C28</f>
        <v>776.97</v>
      </c>
      <c r="D6" s="18">
        <f>Income_Statement!D28</f>
        <v>1043.07</v>
      </c>
      <c r="E6" s="18">
        <f>Income_Statement!E28</f>
        <v>1236.18</v>
      </c>
      <c r="F6" s="18">
        <f>Income_Statement!F28</f>
        <v>1144.76</v>
      </c>
      <c r="G6" s="18">
        <f>Income_Statement!G28</f>
        <v>1488.13</v>
      </c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</row>
    <row r="8" spans="2:15" ht="18.75" x14ac:dyDescent="0.25">
      <c r="B8" s="17" t="s">
        <v>153</v>
      </c>
      <c r="C8" s="18">
        <f>ROUND(C6/C7, 2)</f>
        <v>-0.42</v>
      </c>
      <c r="D8" s="18">
        <f t="shared" ref="D8:G8" si="0">ROUND(D6/D7, 2)</f>
        <v>-8.84</v>
      </c>
      <c r="E8" s="18">
        <f t="shared" si="0"/>
        <v>6.04</v>
      </c>
      <c r="F8" s="18">
        <f t="shared" si="0"/>
        <v>9.33</v>
      </c>
      <c r="G8" s="18">
        <f t="shared" si="0"/>
        <v>14.62</v>
      </c>
    </row>
    <row r="9" spans="2:15" ht="18.75" x14ac:dyDescent="0.25">
      <c r="B9" s="19" t="s">
        <v>154</v>
      </c>
      <c r="C9" s="29">
        <f>1-C8</f>
        <v>1.42</v>
      </c>
      <c r="D9" s="29">
        <f t="shared" ref="D9:G9" si="1">1-D8</f>
        <v>9.84</v>
      </c>
      <c r="E9" s="29">
        <f t="shared" si="1"/>
        <v>-5.04</v>
      </c>
      <c r="F9" s="29">
        <f t="shared" si="1"/>
        <v>-8.33</v>
      </c>
      <c r="G9" s="29">
        <f t="shared" si="1"/>
        <v>-13.62</v>
      </c>
    </row>
  </sheetData>
  <mergeCells count="1">
    <mergeCell ref="B5:G5"/>
  </mergeCells>
  <hyperlinks>
    <hyperlink ref="F1" location="Index_Data!A1" tooltip="Hi click here To return Index page" display="Index_Data!A1" xr:uid="{ED912383-8C89-4A30-AD45-793B40C252A9}"/>
  </hyperlink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E5D7-C434-4362-A640-E54D6ECA6E79}">
  <sheetPr codeName="Sheet14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155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Income_Statement!B11</f>
        <v>Cost Of Materials Consumed</v>
      </c>
      <c r="C7" s="18">
        <f>Income_Statement!C11</f>
        <v>28114.9</v>
      </c>
      <c r="D7" s="18">
        <f>Income_Statement!D11</f>
        <v>32418.09</v>
      </c>
      <c r="E7" s="18">
        <f>Income_Statement!E11</f>
        <v>41205.43</v>
      </c>
      <c r="F7" s="18">
        <f>Income_Statement!F11</f>
        <v>54309.07</v>
      </c>
      <c r="G7" s="18">
        <f>Income_Statement!G11</f>
        <v>53244.21</v>
      </c>
    </row>
    <row r="8" spans="2:15" ht="18.75" x14ac:dyDescent="0.25">
      <c r="B8" s="19" t="s">
        <v>156</v>
      </c>
      <c r="C8" s="30">
        <f>ROUND(C6- C7, 2)</f>
        <v>77568.28</v>
      </c>
      <c r="D8" s="30">
        <f t="shared" ref="D8:G8" si="0">ROUND(D6- D7, 2)</f>
        <v>84264.48</v>
      </c>
      <c r="E8" s="30">
        <f t="shared" si="0"/>
        <v>90536.06</v>
      </c>
      <c r="F8" s="30">
        <f t="shared" si="0"/>
        <v>100382.77</v>
      </c>
      <c r="G8" s="30">
        <f t="shared" si="0"/>
        <v>83732.55</v>
      </c>
    </row>
  </sheetData>
  <mergeCells count="1">
    <mergeCell ref="B5:G5"/>
  </mergeCells>
  <hyperlinks>
    <hyperlink ref="F1" location="Index_Data!A1" tooltip="Hi click here To return Index page" display="Index_Data!A1" xr:uid="{03692DB5-F097-4532-9CC3-92A48575E8C2}"/>
  </hyperlink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18D06-517B-483D-AA1A-103473145911}">
  <sheetPr codeName="Sheet15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157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Income_Statement!B15</f>
        <v>Total Expenditure</v>
      </c>
      <c r="C7" s="18">
        <f>Income_Statement!C15</f>
        <v>86958</v>
      </c>
      <c r="D7" s="18">
        <f>Income_Statement!D15</f>
        <v>89169.5</v>
      </c>
      <c r="E7" s="18">
        <f>Income_Statement!E15</f>
        <v>100306.94</v>
      </c>
      <c r="F7" s="18">
        <f>Income_Statement!F15</f>
        <v>123478.45000000001</v>
      </c>
      <c r="G7" s="18">
        <f>Income_Statement!G15</f>
        <v>120441.05000000002</v>
      </c>
    </row>
    <row r="8" spans="2:15" ht="18.75" x14ac:dyDescent="0.25">
      <c r="B8" s="19" t="s">
        <v>158</v>
      </c>
      <c r="C8" s="30">
        <f>ROUND(C6- C7, 2)</f>
        <v>18725.18</v>
      </c>
      <c r="D8" s="30">
        <f t="shared" ref="D8:G8" si="0">ROUND(D6- D7, 2)</f>
        <v>27513.07</v>
      </c>
      <c r="E8" s="30">
        <f t="shared" si="0"/>
        <v>31434.55</v>
      </c>
      <c r="F8" s="30">
        <f t="shared" si="0"/>
        <v>31213.39</v>
      </c>
      <c r="G8" s="30">
        <f t="shared" si="0"/>
        <v>16535.71</v>
      </c>
    </row>
  </sheetData>
  <mergeCells count="1">
    <mergeCell ref="B5:G5"/>
  </mergeCells>
  <hyperlinks>
    <hyperlink ref="F1" location="Index_Data!A1" tooltip="Hi click here To return Index page" display="Index_Data!A1" xr:uid="{A0C6DEC0-1760-49C4-A96E-0837B7F204C4}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7D01A-5B1E-456D-B48E-2B6A259247A2}">
  <sheetPr codeName="Sheet16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159</v>
      </c>
      <c r="C5" s="16"/>
      <c r="D5" s="16"/>
      <c r="E5" s="16"/>
      <c r="F5" s="16"/>
      <c r="G5" s="16"/>
    </row>
    <row r="6" spans="2:15" ht="18.75" x14ac:dyDescent="0.25">
      <c r="B6" s="17" t="str">
        <f>Income_Statement!B27</f>
        <v>Reported Net Profit(PAT)</v>
      </c>
      <c r="C6" s="18">
        <f>Income_Statement!C27</f>
        <v>12910.059999999994</v>
      </c>
      <c r="D6" s="18">
        <f>Income_Statement!D27</f>
        <v>5072.7000000000025</v>
      </c>
      <c r="E6" s="18">
        <f>Income_Statement!E27</f>
        <v>26213.660000000003</v>
      </c>
      <c r="F6" s="18">
        <f>Income_Statement!F27</f>
        <v>10792.429999999978</v>
      </c>
      <c r="G6" s="18">
        <f>Income_Statement!G27</f>
        <v>1221.3699999999826</v>
      </c>
    </row>
    <row r="7" spans="2:15" ht="18.75" x14ac:dyDescent="0.25">
      <c r="B7" s="17" t="str">
        <f>Balance_Sheet!B40</f>
        <v>Total Assets</v>
      </c>
      <c r="C7" s="18">
        <f>Balance_Sheet!C40</f>
        <v>175236.44000000003</v>
      </c>
      <c r="D7" s="18">
        <f>Balance_Sheet!D40</f>
        <v>180945.45</v>
      </c>
      <c r="E7" s="18">
        <f>Balance_Sheet!E40</f>
        <v>219375.57</v>
      </c>
      <c r="F7" s="18">
        <f>Balance_Sheet!F40</f>
        <v>244568.61</v>
      </c>
      <c r="G7" s="18">
        <f>Balance_Sheet!G40</f>
        <v>256190.29999999993</v>
      </c>
    </row>
    <row r="8" spans="2:15" ht="18.75" x14ac:dyDescent="0.25">
      <c r="B8" s="19" t="s">
        <v>160</v>
      </c>
      <c r="C8" s="29">
        <f>ROUND(C6/ C7, 2)</f>
        <v>7.0000000000000007E-2</v>
      </c>
      <c r="D8" s="29">
        <f t="shared" ref="D8:G8" si="0">ROUND(D6/ D7, 2)</f>
        <v>0.03</v>
      </c>
      <c r="E8" s="29">
        <f t="shared" si="0"/>
        <v>0.12</v>
      </c>
      <c r="F8" s="29">
        <f t="shared" si="0"/>
        <v>0.04</v>
      </c>
      <c r="G8" s="29">
        <f t="shared" si="0"/>
        <v>0</v>
      </c>
    </row>
  </sheetData>
  <mergeCells count="1">
    <mergeCell ref="B5:G5"/>
  </mergeCells>
  <hyperlinks>
    <hyperlink ref="F1" location="Index_Data!A1" tooltip="Hi click here To return Index page" display="Index_Data!A1" xr:uid="{61D2B79F-40D0-47AC-8B4B-CF889C7FF626}"/>
  </hyperlink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A9DCB-76C9-41C6-9FFB-7AD08B1CC81B}">
  <sheetPr codeName="Sheet17"/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5" width="13.140625" bestFit="1" customWidth="1"/>
    <col min="6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161</v>
      </c>
      <c r="C5" s="16"/>
      <c r="D5" s="16"/>
      <c r="E5" s="16"/>
      <c r="F5" s="16"/>
      <c r="G5" s="16"/>
    </row>
    <row r="6" spans="2:15" ht="18.75" x14ac:dyDescent="0.25">
      <c r="B6" s="17" t="str">
        <f>Income_Statement!B19</f>
        <v>PBIT</v>
      </c>
      <c r="C6" s="18">
        <f>Income_Statement!C19</f>
        <v>13831.049999999994</v>
      </c>
      <c r="D6" s="18">
        <f>Income_Statement!D19</f>
        <v>17247.140000000003</v>
      </c>
      <c r="E6" s="18">
        <f>Income_Statement!E19</f>
        <v>25521.720000000005</v>
      </c>
      <c r="F6" s="18">
        <f>Income_Statement!F19</f>
        <v>25291.929999999978</v>
      </c>
      <c r="G6" s="18">
        <f>Income_Statement!G19</f>
        <v>9938.469999999983</v>
      </c>
    </row>
    <row r="7" spans="2:15" ht="18.75" x14ac:dyDescent="0.25">
      <c r="B7" s="17" t="str">
        <f>Balance_Sheet!B13</f>
        <v>Total Debt</v>
      </c>
      <c r="C7" s="18">
        <f>Balance_Sheet!C13</f>
        <v>90015.79</v>
      </c>
      <c r="D7" s="18">
        <f>Balance_Sheet!D13</f>
        <v>92380.449999999983</v>
      </c>
      <c r="E7" s="18">
        <f>Balance_Sheet!E13</f>
        <v>99243.96</v>
      </c>
      <c r="F7" s="18">
        <f>Balance_Sheet!F13</f>
        <v>103604.7</v>
      </c>
      <c r="G7" s="18">
        <f>Balance_Sheet!G13</f>
        <v>122550.83</v>
      </c>
    </row>
    <row r="8" spans="2:15" ht="18.75" x14ac:dyDescent="0.25">
      <c r="B8" s="17" t="str">
        <f>Balance_Sheet!B9</f>
        <v>Net Worth</v>
      </c>
      <c r="C8" s="18">
        <f>Balance_Sheet!C9</f>
        <v>41457.549999999996</v>
      </c>
      <c r="D8" s="18">
        <f>Balance_Sheet!D9</f>
        <v>45431.53</v>
      </c>
      <c r="E8" s="18">
        <f>Balance_Sheet!E9</f>
        <v>70488.25</v>
      </c>
      <c r="F8" s="18">
        <f>Balance_Sheet!F9</f>
        <v>79911.299999999988</v>
      </c>
      <c r="G8" s="18">
        <f>Balance_Sheet!G9</f>
        <v>79347.149999999965</v>
      </c>
    </row>
    <row r="9" spans="2:15" ht="18.75" x14ac:dyDescent="0.25">
      <c r="B9" s="19" t="s">
        <v>162</v>
      </c>
      <c r="C9" s="29">
        <f>ROUND(C6/ (C7+ C7), 2)</f>
        <v>0.08</v>
      </c>
      <c r="D9" s="29">
        <f t="shared" ref="D9:G9" si="0">ROUND(D6/ (D7+ D7), 2)</f>
        <v>0.09</v>
      </c>
      <c r="E9" s="29">
        <f t="shared" si="0"/>
        <v>0.13</v>
      </c>
      <c r="F9" s="29">
        <f t="shared" si="0"/>
        <v>0.12</v>
      </c>
      <c r="G9" s="29">
        <f t="shared" si="0"/>
        <v>0.04</v>
      </c>
    </row>
  </sheetData>
  <mergeCells count="1">
    <mergeCell ref="B5:G5"/>
  </mergeCells>
  <hyperlinks>
    <hyperlink ref="F1" location="Index_Data!A1" tooltip="Hi click here To return Index page" display="Index_Data!A1" xr:uid="{AEC775E6-B27C-4C79-91C2-1F0A1C4970C3}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575C9-A71E-41D6-BDE4-CF3D3CCBD9A6}">
  <sheetPr codeName="Sheet18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163</v>
      </c>
      <c r="C5" s="16"/>
      <c r="D5" s="16"/>
      <c r="E5" s="16"/>
      <c r="F5" s="16"/>
      <c r="G5" s="16"/>
    </row>
    <row r="6" spans="2:15" ht="18.75" x14ac:dyDescent="0.25">
      <c r="B6" s="17" t="str">
        <f>Income_Statement!B27</f>
        <v>Reported Net Profit(PAT)</v>
      </c>
      <c r="C6" s="18">
        <f>Income_Statement!C27</f>
        <v>12910.059999999994</v>
      </c>
      <c r="D6" s="18">
        <f>Income_Statement!D27</f>
        <v>5072.7000000000025</v>
      </c>
      <c r="E6" s="18">
        <f>Income_Statement!E27</f>
        <v>26213.660000000003</v>
      </c>
      <c r="F6" s="18">
        <f>Income_Statement!F27</f>
        <v>10792.429999999978</v>
      </c>
      <c r="G6" s="18">
        <f>Income_Statement!G27</f>
        <v>1221.3699999999826</v>
      </c>
    </row>
    <row r="7" spans="2:15" ht="18.75" x14ac:dyDescent="0.25">
      <c r="B7" s="17" t="str">
        <f>Balance_Sheet!B9</f>
        <v>Net Worth</v>
      </c>
      <c r="C7" s="18">
        <f>Balance_Sheet!C9</f>
        <v>41457.549999999996</v>
      </c>
      <c r="D7" s="18">
        <f>Balance_Sheet!D9</f>
        <v>45431.53</v>
      </c>
      <c r="E7" s="18">
        <f>Balance_Sheet!E9</f>
        <v>70488.25</v>
      </c>
      <c r="F7" s="18">
        <f>Balance_Sheet!F9</f>
        <v>79911.299999999988</v>
      </c>
      <c r="G7" s="18">
        <f>Balance_Sheet!G9</f>
        <v>79347.149999999965</v>
      </c>
    </row>
    <row r="8" spans="2:15" ht="18.75" x14ac:dyDescent="0.25">
      <c r="B8" s="19" t="s">
        <v>164</v>
      </c>
      <c r="C8" s="29">
        <f>ROUND(C6/ (C7+ C7), 2)</f>
        <v>0.16</v>
      </c>
      <c r="D8" s="29">
        <f t="shared" ref="D8:G8" si="0">ROUND(D6/ (D7+ D7), 2)</f>
        <v>0.06</v>
      </c>
      <c r="E8" s="29">
        <f t="shared" si="0"/>
        <v>0.19</v>
      </c>
      <c r="F8" s="29">
        <f t="shared" si="0"/>
        <v>7.0000000000000007E-2</v>
      </c>
      <c r="G8" s="29">
        <f t="shared" si="0"/>
        <v>0.01</v>
      </c>
    </row>
  </sheetData>
  <mergeCells count="1">
    <mergeCell ref="B5:G5"/>
  </mergeCells>
  <hyperlinks>
    <hyperlink ref="F1" location="Index_Data!A1" tooltip="Hi click here To return Index page" display="Index_Data!A1" xr:uid="{47EA94FE-7538-4D78-9586-1FFF66994D74}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6136F-5B24-439C-9CF5-78435D760E1F}">
  <sheetPr codeName="Sheet19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5" width="13.140625" bestFit="1" customWidth="1"/>
    <col min="6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165</v>
      </c>
      <c r="C5" s="16"/>
      <c r="D5" s="16"/>
      <c r="E5" s="16"/>
      <c r="F5" s="16"/>
      <c r="G5" s="16"/>
    </row>
    <row r="6" spans="2:15" ht="18.75" x14ac:dyDescent="0.25">
      <c r="B6" s="17" t="str">
        <f>Balance_Sheet!B13</f>
        <v>Total Debt</v>
      </c>
      <c r="C6" s="18">
        <f>Balance_Sheet!C13</f>
        <v>90015.79</v>
      </c>
      <c r="D6" s="18">
        <f>Balance_Sheet!D13</f>
        <v>92380.449999999983</v>
      </c>
      <c r="E6" s="18">
        <f>Balance_Sheet!E13</f>
        <v>99243.96</v>
      </c>
      <c r="F6" s="18">
        <f>Balance_Sheet!F13</f>
        <v>103604.7</v>
      </c>
      <c r="G6" s="18">
        <f>Balance_Sheet!G13</f>
        <v>122550.83</v>
      </c>
    </row>
    <row r="7" spans="2:15" ht="18.75" x14ac:dyDescent="0.25">
      <c r="B7" s="17" t="str">
        <f>Balance_Sheet!B9</f>
        <v>Net Worth</v>
      </c>
      <c r="C7" s="18">
        <f>Balance_Sheet!C9</f>
        <v>41457.549999999996</v>
      </c>
      <c r="D7" s="18">
        <f>Balance_Sheet!D9</f>
        <v>45431.53</v>
      </c>
      <c r="E7" s="18">
        <f>Balance_Sheet!E9</f>
        <v>70488.25</v>
      </c>
      <c r="F7" s="18">
        <f>Balance_Sheet!F9</f>
        <v>79911.299999999988</v>
      </c>
      <c r="G7" s="18">
        <f>Balance_Sheet!G9</f>
        <v>79347.149999999965</v>
      </c>
    </row>
    <row r="8" spans="2:15" ht="18.75" x14ac:dyDescent="0.25">
      <c r="B8" s="19" t="s">
        <v>166</v>
      </c>
      <c r="C8" s="19">
        <f>ROUND(C6/ C7, 2)</f>
        <v>2.17</v>
      </c>
      <c r="D8" s="19">
        <f t="shared" ref="D8:G8" si="0">ROUND(D6/ D7, 2)</f>
        <v>2.0299999999999998</v>
      </c>
      <c r="E8" s="19">
        <f t="shared" si="0"/>
        <v>1.41</v>
      </c>
      <c r="F8" s="19">
        <f t="shared" si="0"/>
        <v>1.3</v>
      </c>
      <c r="G8" s="19">
        <f t="shared" si="0"/>
        <v>1.54</v>
      </c>
    </row>
  </sheetData>
  <mergeCells count="1">
    <mergeCell ref="B5:G5"/>
  </mergeCells>
  <hyperlinks>
    <hyperlink ref="F1" location="Index_Data!A1" tooltip="Hi click here To return Index page" display="Index_Data!A1" xr:uid="{4B99F3EE-9842-40CE-A23D-75D76CEEBAF4}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790A0-C9C0-4113-A865-9DFE374A1416}">
  <sheetPr codeName="Sheet20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167</v>
      </c>
      <c r="C5" s="16"/>
      <c r="D5" s="16"/>
      <c r="E5" s="16"/>
      <c r="F5" s="16"/>
      <c r="G5" s="16"/>
    </row>
    <row r="6" spans="2:15" ht="18.75" x14ac:dyDescent="0.25">
      <c r="B6" s="17" t="str">
        <f>Balance_Sheet!B39</f>
        <v>Total Current Assets</v>
      </c>
      <c r="C6" s="18">
        <f>Balance_Sheet!C39</f>
        <v>58601.880000000005</v>
      </c>
      <c r="D6" s="18">
        <f>Balance_Sheet!D39</f>
        <v>70135.02</v>
      </c>
      <c r="E6" s="18">
        <f>Balance_Sheet!E39</f>
        <v>104945.40000000002</v>
      </c>
      <c r="F6" s="18">
        <f>Balance_Sheet!F39</f>
        <v>119405.01</v>
      </c>
      <c r="G6" s="18">
        <f>Balance_Sheet!G39</f>
        <v>127964.02999999997</v>
      </c>
    </row>
    <row r="7" spans="2:15" ht="18.75" x14ac:dyDescent="0.25">
      <c r="B7" s="17" t="str">
        <f>Balance_Sheet!B19</f>
        <v>Total Current Liabilities</v>
      </c>
      <c r="C7" s="18">
        <f>Balance_Sheet!C19</f>
        <v>42982.16</v>
      </c>
      <c r="D7" s="18">
        <f>Balance_Sheet!D19</f>
        <v>41531.770000000004</v>
      </c>
      <c r="E7" s="18">
        <f>Balance_Sheet!E19</f>
        <v>48706.84</v>
      </c>
      <c r="F7" s="18">
        <f>Balance_Sheet!F19</f>
        <v>58688.149999999994</v>
      </c>
      <c r="G7" s="18">
        <f>Balance_Sheet!G19</f>
        <v>51705.72</v>
      </c>
    </row>
    <row r="8" spans="2:15" ht="18.75" x14ac:dyDescent="0.25">
      <c r="B8" s="19" t="s">
        <v>168</v>
      </c>
      <c r="C8" s="19">
        <f>ROUND(C6/ C7, 2)</f>
        <v>1.36</v>
      </c>
      <c r="D8" s="19">
        <f t="shared" ref="D8:G8" si="0">ROUND(D6/ D7, 2)</f>
        <v>1.69</v>
      </c>
      <c r="E8" s="19">
        <f t="shared" si="0"/>
        <v>2.15</v>
      </c>
      <c r="F8" s="19">
        <f t="shared" si="0"/>
        <v>2.0299999999999998</v>
      </c>
      <c r="G8" s="19">
        <f t="shared" si="0"/>
        <v>2.4700000000000002</v>
      </c>
    </row>
  </sheetData>
  <mergeCells count="1">
    <mergeCell ref="B5:G5"/>
  </mergeCells>
  <hyperlinks>
    <hyperlink ref="F1" location="Index_Data!A1" tooltip="Hi click here To return Index page" display="Index_Data!A1" xr:uid="{E1D57091-930D-4C5A-AD10-E48E9E8A6641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5EA0-58A7-4CAE-AF98-8637292288E4}">
  <sheetPr codeName="Sheet3"/>
  <dimension ref="B1:O35"/>
  <sheetViews>
    <sheetView showGridLines="0" workbookViewId="0">
      <selection activeCell="C30" sqref="C30:G30"/>
    </sheetView>
  </sheetViews>
  <sheetFormatPr defaultRowHeight="15" x14ac:dyDescent="0.25"/>
  <cols>
    <col min="2" max="2" width="57.140625" bestFit="1" customWidth="1"/>
    <col min="3" max="4" width="19.85546875" bestFit="1" customWidth="1"/>
    <col min="5" max="5" width="18.85546875" bestFit="1" customWidth="1"/>
    <col min="6" max="6" width="17.140625" bestFit="1" customWidth="1"/>
    <col min="7" max="7" width="18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7" t="s">
        <v>58</v>
      </c>
      <c r="C3" s="8"/>
      <c r="D3" s="8"/>
      <c r="E3" s="8"/>
      <c r="F3" s="8"/>
      <c r="G3" s="8"/>
    </row>
    <row r="4" spans="2:15" ht="18.75" x14ac:dyDescent="0.25">
      <c r="B4" s="9" t="s">
        <v>57</v>
      </c>
      <c r="C4" s="9">
        <v>2015</v>
      </c>
      <c r="D4" s="9">
        <v>2016</v>
      </c>
      <c r="E4" s="9">
        <v>2017</v>
      </c>
      <c r="F4" s="9">
        <v>2018</v>
      </c>
      <c r="G4" s="9">
        <v>2019</v>
      </c>
    </row>
    <row r="5" spans="2:15" ht="18.75" x14ac:dyDescent="0.25">
      <c r="B5" s="5" t="s">
        <v>40</v>
      </c>
      <c r="C5" s="2">
        <v>105683.18</v>
      </c>
      <c r="D5" s="2">
        <v>116682.57</v>
      </c>
      <c r="E5" s="2">
        <v>131741.49</v>
      </c>
      <c r="F5" s="2">
        <v>154691.84</v>
      </c>
      <c r="G5" s="2">
        <v>136976.76</v>
      </c>
    </row>
    <row r="6" spans="2:15" ht="18.75" x14ac:dyDescent="0.25">
      <c r="B6" s="5" t="s">
        <v>41</v>
      </c>
      <c r="C6" s="1">
        <v>0</v>
      </c>
      <c r="D6" s="1">
        <v>5120.5200000000004</v>
      </c>
      <c r="E6" s="1">
        <v>860.62</v>
      </c>
      <c r="F6" s="2">
        <v>0.21</v>
      </c>
      <c r="G6" s="1">
        <v>0</v>
      </c>
    </row>
    <row r="7" spans="2:15" ht="18.75" x14ac:dyDescent="0.25">
      <c r="B7" s="6" t="s">
        <v>43</v>
      </c>
      <c r="C7" s="4">
        <f>C5 - C6</f>
        <v>105683.18</v>
      </c>
      <c r="D7" s="4">
        <f t="shared" ref="D7:G7" si="0">D5 - D6</f>
        <v>111562.05</v>
      </c>
      <c r="E7" s="4">
        <f t="shared" si="0"/>
        <v>130880.87</v>
      </c>
      <c r="F7" s="4">
        <f t="shared" si="0"/>
        <v>154691.63</v>
      </c>
      <c r="G7" s="4">
        <f t="shared" si="0"/>
        <v>136976.76</v>
      </c>
    </row>
    <row r="8" spans="2:15" ht="18.75" x14ac:dyDescent="0.25">
      <c r="B8" s="5" t="s">
        <v>28</v>
      </c>
      <c r="C8" s="2">
        <v>412.22</v>
      </c>
      <c r="D8" s="2">
        <v>527.47</v>
      </c>
      <c r="E8" s="1">
        <v>909.45</v>
      </c>
      <c r="F8" s="1">
        <v>1420.58</v>
      </c>
      <c r="G8" s="1">
        <v>1843.49</v>
      </c>
    </row>
    <row r="9" spans="2:15" ht="18.75" x14ac:dyDescent="0.25">
      <c r="B9" s="5" t="s">
        <v>44</v>
      </c>
      <c r="C9" s="1"/>
      <c r="D9" s="1"/>
      <c r="E9" s="1"/>
      <c r="F9" s="1"/>
      <c r="G9" s="1"/>
    </row>
    <row r="10" spans="2:15" ht="18.75" x14ac:dyDescent="0.25">
      <c r="B10" s="6" t="s">
        <v>45</v>
      </c>
      <c r="C10" s="4">
        <f>SUM(C7:C9)</f>
        <v>106095.4</v>
      </c>
      <c r="D10" s="4">
        <f t="shared" ref="D10:G10" si="1">SUM(D7:D9)</f>
        <v>112089.52</v>
      </c>
      <c r="E10" s="4">
        <f t="shared" si="1"/>
        <v>131790.32</v>
      </c>
      <c r="F10" s="4">
        <f t="shared" si="1"/>
        <v>156112.21</v>
      </c>
      <c r="G10" s="4">
        <f t="shared" si="1"/>
        <v>138820.25</v>
      </c>
    </row>
    <row r="11" spans="2:15" ht="18.75" x14ac:dyDescent="0.25">
      <c r="B11" s="5" t="s">
        <v>29</v>
      </c>
      <c r="C11" s="2">
        <v>28114.9</v>
      </c>
      <c r="D11" s="2">
        <v>32418.09</v>
      </c>
      <c r="E11" s="2">
        <v>41205.43</v>
      </c>
      <c r="F11" s="2">
        <v>54309.07</v>
      </c>
      <c r="G11" s="2">
        <v>53244.21</v>
      </c>
    </row>
    <row r="12" spans="2:15" ht="18.75" x14ac:dyDescent="0.25">
      <c r="B12" s="5" t="s">
        <v>30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2:15" ht="18.75" x14ac:dyDescent="0.25">
      <c r="B13" s="5" t="s">
        <v>31</v>
      </c>
      <c r="C13" s="2">
        <v>17587.63</v>
      </c>
      <c r="D13" s="2">
        <v>17252.22</v>
      </c>
      <c r="E13" s="2">
        <v>17606.189999999999</v>
      </c>
      <c r="F13" s="2">
        <v>18758.87</v>
      </c>
      <c r="G13" s="2">
        <v>18533.580000000002</v>
      </c>
    </row>
    <row r="14" spans="2:15" ht="18.75" x14ac:dyDescent="0.25">
      <c r="B14" s="5" t="s">
        <v>34</v>
      </c>
      <c r="C14" s="2">
        <v>41255.47</v>
      </c>
      <c r="D14" s="2">
        <v>39499.19</v>
      </c>
      <c r="E14" s="2">
        <v>41495.32</v>
      </c>
      <c r="F14" s="2">
        <v>50410.51</v>
      </c>
      <c r="G14" s="2">
        <v>48663.26</v>
      </c>
    </row>
    <row r="15" spans="2:15" ht="18.75" x14ac:dyDescent="0.25">
      <c r="B15" s="6" t="s">
        <v>46</v>
      </c>
      <c r="C15" s="4">
        <f>C11+C12+C13+C14</f>
        <v>86958</v>
      </c>
      <c r="D15" s="4">
        <f t="shared" ref="D15:G15" si="2">D11+D12+D13+D14</f>
        <v>89169.5</v>
      </c>
      <c r="E15" s="4">
        <f t="shared" si="2"/>
        <v>100306.94</v>
      </c>
      <c r="F15" s="4">
        <f t="shared" si="2"/>
        <v>123478.45000000001</v>
      </c>
      <c r="G15" s="4">
        <f t="shared" si="2"/>
        <v>120441.05000000002</v>
      </c>
    </row>
    <row r="16" spans="2:15" ht="18.75" x14ac:dyDescent="0.25">
      <c r="B16" s="6" t="s">
        <v>47</v>
      </c>
      <c r="C16" s="4">
        <f xml:space="preserve"> C10-C15-C8</f>
        <v>18725.179999999993</v>
      </c>
      <c r="D16" s="4">
        <f t="shared" ref="D16:G16" si="3" xml:space="preserve"> D10-D15-D8</f>
        <v>22392.550000000003</v>
      </c>
      <c r="E16" s="4">
        <f t="shared" si="3"/>
        <v>30573.930000000004</v>
      </c>
      <c r="F16" s="4">
        <f t="shared" si="3"/>
        <v>31213.179999999978</v>
      </c>
      <c r="G16" s="4">
        <f t="shared" si="3"/>
        <v>16535.709999999981</v>
      </c>
    </row>
    <row r="17" spans="2:7" ht="18.75" x14ac:dyDescent="0.25">
      <c r="B17" s="6" t="s">
        <v>48</v>
      </c>
      <c r="C17" s="4">
        <f xml:space="preserve"> C16+C8</f>
        <v>19137.399999999994</v>
      </c>
      <c r="D17" s="4">
        <f t="shared" ref="D17:G17" si="4" xml:space="preserve"> D16+D8</f>
        <v>22920.020000000004</v>
      </c>
      <c r="E17" s="4">
        <f t="shared" si="4"/>
        <v>31483.380000000005</v>
      </c>
      <c r="F17" s="4">
        <f t="shared" si="4"/>
        <v>32633.75999999998</v>
      </c>
      <c r="G17" s="4">
        <f t="shared" si="4"/>
        <v>18379.199999999983</v>
      </c>
    </row>
    <row r="18" spans="2:7" ht="18.75" x14ac:dyDescent="0.25">
      <c r="B18" s="5" t="s">
        <v>33</v>
      </c>
      <c r="C18" s="2">
        <v>5306.35</v>
      </c>
      <c r="D18" s="2">
        <v>5672.88</v>
      </c>
      <c r="E18" s="2">
        <v>5961.66</v>
      </c>
      <c r="F18" s="2">
        <v>7341.83</v>
      </c>
      <c r="G18" s="2">
        <v>8440.73</v>
      </c>
    </row>
    <row r="19" spans="2:7" ht="18.75" x14ac:dyDescent="0.25">
      <c r="B19" s="6" t="s">
        <v>49</v>
      </c>
      <c r="C19" s="4">
        <f xml:space="preserve"> C17-C18</f>
        <v>13831.049999999994</v>
      </c>
      <c r="D19" s="4">
        <f t="shared" ref="D19:G19" si="5" xml:space="preserve"> D17-D18</f>
        <v>17247.140000000003</v>
      </c>
      <c r="E19" s="4">
        <f t="shared" si="5"/>
        <v>25521.720000000005</v>
      </c>
      <c r="F19" s="4">
        <f t="shared" si="5"/>
        <v>25291.929999999978</v>
      </c>
      <c r="G19" s="4">
        <f t="shared" si="5"/>
        <v>9938.469999999983</v>
      </c>
    </row>
    <row r="20" spans="2:7" ht="18.75" x14ac:dyDescent="0.25">
      <c r="B20" s="5" t="s">
        <v>32</v>
      </c>
      <c r="C20" s="2">
        <v>4221.41</v>
      </c>
      <c r="D20" s="2">
        <v>5072.2</v>
      </c>
      <c r="E20" s="2">
        <v>5501.79</v>
      </c>
      <c r="F20" s="2">
        <v>7660.1</v>
      </c>
      <c r="G20" s="2">
        <v>7533.46</v>
      </c>
    </row>
    <row r="21" spans="2:7" ht="18.75" x14ac:dyDescent="0.25">
      <c r="B21" s="6" t="s">
        <v>50</v>
      </c>
      <c r="C21" s="4">
        <f xml:space="preserve"> C19-C20</f>
        <v>9609.639999999994</v>
      </c>
      <c r="D21" s="4">
        <f t="shared" ref="D21:G21" si="6" xml:space="preserve"> D19-D20</f>
        <v>12174.940000000002</v>
      </c>
      <c r="E21" s="4">
        <f t="shared" si="6"/>
        <v>20019.930000000004</v>
      </c>
      <c r="F21" s="4">
        <f t="shared" si="6"/>
        <v>17631.82999999998</v>
      </c>
      <c r="G21" s="4">
        <f t="shared" si="6"/>
        <v>2405.0099999999829</v>
      </c>
    </row>
    <row r="22" spans="2:7" ht="18.75" x14ac:dyDescent="0.25">
      <c r="B22" s="5" t="s">
        <v>51</v>
      </c>
      <c r="C22" s="1"/>
      <c r="D22" s="1"/>
      <c r="E22" s="1"/>
      <c r="F22" s="1"/>
      <c r="G22" s="1"/>
    </row>
    <row r="23" spans="2:7" ht="18.75" x14ac:dyDescent="0.25">
      <c r="B23" s="6" t="s">
        <v>52</v>
      </c>
      <c r="C23" s="4">
        <f xml:space="preserve"> C21+C22</f>
        <v>9609.639999999994</v>
      </c>
      <c r="D23" s="4">
        <f t="shared" ref="D23:G23" si="7" xml:space="preserve"> D21+D22</f>
        <v>12174.940000000002</v>
      </c>
      <c r="E23" s="4">
        <f t="shared" si="7"/>
        <v>20019.930000000004</v>
      </c>
      <c r="F23" s="4">
        <f t="shared" si="7"/>
        <v>17631.82999999998</v>
      </c>
      <c r="G23" s="4">
        <f t="shared" si="7"/>
        <v>2405.0099999999829</v>
      </c>
    </row>
    <row r="24" spans="2:7" ht="18.75" x14ac:dyDescent="0.25">
      <c r="B24" s="5" t="s">
        <v>35</v>
      </c>
      <c r="C24" s="2">
        <v>3990.38</v>
      </c>
      <c r="D24" s="1">
        <v>-4324.2299999999996</v>
      </c>
      <c r="E24" s="2">
        <v>9599.1200000000008</v>
      </c>
      <c r="F24" s="2">
        <v>-120.97</v>
      </c>
      <c r="G24" s="2">
        <v>-3752.05</v>
      </c>
    </row>
    <row r="25" spans="2:7" ht="18.75" x14ac:dyDescent="0.25">
      <c r="B25" s="6" t="s">
        <v>53</v>
      </c>
      <c r="C25" s="4">
        <f xml:space="preserve"> C23+C24</f>
        <v>13600.019999999993</v>
      </c>
      <c r="D25" s="4">
        <f t="shared" ref="D25:G25" si="8" xml:space="preserve"> D23+D24</f>
        <v>7850.7100000000028</v>
      </c>
      <c r="E25" s="4">
        <f t="shared" si="8"/>
        <v>29619.050000000003</v>
      </c>
      <c r="F25" s="4">
        <f t="shared" si="8"/>
        <v>17510.859999999979</v>
      </c>
      <c r="G25" s="4">
        <f t="shared" si="8"/>
        <v>-1347.0400000000172</v>
      </c>
    </row>
    <row r="26" spans="2:7" ht="18.75" x14ac:dyDescent="0.25">
      <c r="B26" s="5" t="s">
        <v>36</v>
      </c>
      <c r="C26" s="2">
        <v>689.96</v>
      </c>
      <c r="D26" s="2">
        <v>2778.01</v>
      </c>
      <c r="E26" s="2">
        <v>3405.39</v>
      </c>
      <c r="F26" s="2">
        <v>6718.43</v>
      </c>
      <c r="G26" s="1">
        <v>-2568.41</v>
      </c>
    </row>
    <row r="27" spans="2:7" ht="18.75" x14ac:dyDescent="0.25">
      <c r="B27" s="6" t="s">
        <v>54</v>
      </c>
      <c r="C27" s="4">
        <f xml:space="preserve"> C25-C26</f>
        <v>12910.059999999994</v>
      </c>
      <c r="D27" s="4">
        <f t="shared" ref="D27:G27" si="9" xml:space="preserve"> D25-D26</f>
        <v>5072.7000000000025</v>
      </c>
      <c r="E27" s="4">
        <f t="shared" si="9"/>
        <v>26213.660000000003</v>
      </c>
      <c r="F27" s="4">
        <f t="shared" si="9"/>
        <v>10792.429999999978</v>
      </c>
      <c r="G27" s="4">
        <f t="shared" si="9"/>
        <v>1221.3699999999826</v>
      </c>
    </row>
    <row r="28" spans="2:7" ht="18.75" x14ac:dyDescent="0.25">
      <c r="B28" s="5" t="s">
        <v>38</v>
      </c>
      <c r="C28" s="2">
        <v>776.97</v>
      </c>
      <c r="D28" s="2">
        <v>1043.07</v>
      </c>
      <c r="E28" s="2">
        <v>1236.18</v>
      </c>
      <c r="F28" s="2">
        <v>1144.76</v>
      </c>
      <c r="G28" s="1">
        <v>1488.13</v>
      </c>
    </row>
    <row r="29" spans="2:7" ht="18.75" x14ac:dyDescent="0.25">
      <c r="B29" s="5" t="s">
        <v>39</v>
      </c>
      <c r="C29" s="1">
        <v>149.30000000000001</v>
      </c>
      <c r="D29" s="1">
        <v>55.65</v>
      </c>
      <c r="E29" s="1">
        <v>95.47</v>
      </c>
      <c r="F29" s="1">
        <v>224.61</v>
      </c>
      <c r="G29" s="1">
        <v>297.39999999999998</v>
      </c>
    </row>
    <row r="30" spans="2:7" ht="18.75" x14ac:dyDescent="0.25">
      <c r="B30" s="6" t="s">
        <v>55</v>
      </c>
      <c r="C30" s="4">
        <f xml:space="preserve"> C27-C28-C29</f>
        <v>11983.789999999995</v>
      </c>
      <c r="D30" s="4">
        <f t="shared" ref="D30:G30" si="10" xml:space="preserve"> D27-D28-D29</f>
        <v>3973.9800000000027</v>
      </c>
      <c r="E30" s="4">
        <f t="shared" si="10"/>
        <v>24882.010000000002</v>
      </c>
      <c r="F30" s="4">
        <f t="shared" si="10"/>
        <v>9423.0599999999777</v>
      </c>
      <c r="G30" s="4">
        <f t="shared" si="10"/>
        <v>-564.16000000001748</v>
      </c>
    </row>
    <row r="31" spans="2:7" ht="18.75" x14ac:dyDescent="0.25">
      <c r="B31" s="5"/>
      <c r="C31" s="1"/>
      <c r="D31" s="1"/>
      <c r="E31" s="1"/>
      <c r="F31" s="1"/>
      <c r="G31" s="1"/>
    </row>
    <row r="32" spans="2:7" ht="18.75" x14ac:dyDescent="0.25">
      <c r="B32" s="5"/>
      <c r="C32" s="1"/>
      <c r="D32" s="1"/>
      <c r="E32" s="1"/>
      <c r="F32" s="1"/>
      <c r="G32" s="1"/>
    </row>
    <row r="33" spans="2:7" ht="18.75" x14ac:dyDescent="0.25">
      <c r="B33" s="5"/>
      <c r="C33" s="1"/>
      <c r="D33" s="1"/>
      <c r="E33" s="1"/>
      <c r="F33" s="1"/>
      <c r="G33" s="1"/>
    </row>
    <row r="34" spans="2:7" ht="18.75" x14ac:dyDescent="0.25">
      <c r="B34" s="5" t="s">
        <v>37</v>
      </c>
      <c r="C34" s="1">
        <v>-7</v>
      </c>
      <c r="D34" s="1">
        <v>-43</v>
      </c>
      <c r="E34" s="1">
        <v>128</v>
      </c>
      <c r="F34" s="1">
        <v>88</v>
      </c>
      <c r="G34" s="1">
        <v>12</v>
      </c>
    </row>
    <row r="35" spans="2:7" ht="18.75" x14ac:dyDescent="0.25">
      <c r="B35" s="5" t="s">
        <v>56</v>
      </c>
      <c r="C35" s="1">
        <f>C27/C34</f>
        <v>-1844.2942857142848</v>
      </c>
      <c r="D35" s="1">
        <f t="shared" ref="D35:G35" si="11">D27/D34</f>
        <v>-117.96976744186053</v>
      </c>
      <c r="E35" s="1">
        <f t="shared" si="11"/>
        <v>204.79421875000003</v>
      </c>
      <c r="F35" s="1">
        <f t="shared" si="11"/>
        <v>122.64124999999976</v>
      </c>
      <c r="G35" s="1">
        <f t="shared" si="11"/>
        <v>101.78083333333188</v>
      </c>
    </row>
  </sheetData>
  <mergeCells count="1">
    <mergeCell ref="B3:G3"/>
  </mergeCells>
  <hyperlinks>
    <hyperlink ref="F1" location="Index_Data!A1" tooltip="Hi click here To return Index page" display="Index_Data!A1" xr:uid="{B789A5CB-0396-4EB6-A063-977FE3C05E4E}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6C26B-322A-4091-A98E-ED99F968B119}">
  <sheetPr codeName="Sheet21"/>
  <dimension ref="B1:O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169</v>
      </c>
      <c r="C5" s="16"/>
      <c r="D5" s="16"/>
      <c r="E5" s="16"/>
      <c r="F5" s="16"/>
      <c r="G5" s="16"/>
    </row>
    <row r="6" spans="2:15" ht="18.75" x14ac:dyDescent="0.25">
      <c r="B6" s="17" t="str">
        <f>Balance_Sheet!B39</f>
        <v>Total Current Assets</v>
      </c>
      <c r="C6" s="18">
        <f>Balance_Sheet!C39</f>
        <v>58601.880000000005</v>
      </c>
      <c r="D6" s="18">
        <f>Balance_Sheet!D39</f>
        <v>70135.02</v>
      </c>
      <c r="E6" s="18">
        <f>Balance_Sheet!E39</f>
        <v>104945.40000000002</v>
      </c>
      <c r="F6" s="18">
        <f>Balance_Sheet!F39</f>
        <v>119405.01</v>
      </c>
      <c r="G6" s="18">
        <f>Balance_Sheet!G39</f>
        <v>127964.02999999997</v>
      </c>
    </row>
    <row r="7" spans="2:15" ht="18.75" x14ac:dyDescent="0.25">
      <c r="B7" s="17" t="str">
        <f>Balance_Sheet!B36</f>
        <v>Inventories</v>
      </c>
      <c r="C7" s="18">
        <f>Balance_Sheet!C36</f>
        <v>20013.330000000002</v>
      </c>
      <c r="D7" s="18">
        <f>Balance_Sheet!D36</f>
        <v>24803.82</v>
      </c>
      <c r="E7" s="18">
        <f>Balance_Sheet!E36</f>
        <v>28331.040000000001</v>
      </c>
      <c r="F7" s="18">
        <f>Balance_Sheet!F36</f>
        <v>31656.1</v>
      </c>
      <c r="G7" s="18">
        <f>Balance_Sheet!G36</f>
        <v>31068.720000000001</v>
      </c>
    </row>
    <row r="8" spans="2:15" ht="18.75" x14ac:dyDescent="0.25">
      <c r="B8" s="17" t="str">
        <f>Balance_Sheet!B19</f>
        <v>Total Current Liabilities</v>
      </c>
      <c r="C8" s="18">
        <f>Balance_Sheet!C19</f>
        <v>42982.16</v>
      </c>
      <c r="D8" s="18">
        <f>Balance_Sheet!D19</f>
        <v>41531.770000000004</v>
      </c>
      <c r="E8" s="18">
        <f>Balance_Sheet!E19</f>
        <v>48706.84</v>
      </c>
      <c r="F8" s="18">
        <f>Balance_Sheet!F19</f>
        <v>58688.149999999994</v>
      </c>
      <c r="G8" s="18">
        <f>Balance_Sheet!G19</f>
        <v>51705.72</v>
      </c>
    </row>
    <row r="9" spans="2:15" ht="18.75" x14ac:dyDescent="0.25">
      <c r="B9" s="19" t="s">
        <v>170</v>
      </c>
      <c r="C9" s="19">
        <f>ROUND((C6-C7)/ C8, 2)</f>
        <v>0.9</v>
      </c>
      <c r="D9" s="19">
        <f t="shared" ref="D9:G9" si="0">ROUND((D6-D7)/ D8, 2)</f>
        <v>1.0900000000000001</v>
      </c>
      <c r="E9" s="19">
        <f t="shared" si="0"/>
        <v>1.57</v>
      </c>
      <c r="F9" s="19">
        <f t="shared" si="0"/>
        <v>1.5</v>
      </c>
      <c r="G9" s="19">
        <f t="shared" si="0"/>
        <v>1.87</v>
      </c>
    </row>
  </sheetData>
  <mergeCells count="1">
    <mergeCell ref="B5:G5"/>
  </mergeCells>
  <hyperlinks>
    <hyperlink ref="F1" location="Index_Data!A1" tooltip="Hi click here To return Index page" display="Index_Data!A1" xr:uid="{924F924F-8AE9-4FC7-B849-266C6E9819DB}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B56CE-04A7-4AAD-8F3C-B215A8B3408D}">
  <sheetPr codeName="Sheet22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6" width="13.140625" bestFit="1" customWidth="1"/>
    <col min="7" max="7" width="11.57031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171</v>
      </c>
      <c r="C5" s="16"/>
      <c r="D5" s="16"/>
      <c r="E5" s="16"/>
      <c r="F5" s="16"/>
      <c r="G5" s="16"/>
    </row>
    <row r="6" spans="2:15" ht="18.75" x14ac:dyDescent="0.25">
      <c r="B6" s="17" t="str">
        <f>Income_Statement!B19</f>
        <v>PBIT</v>
      </c>
      <c r="C6" s="18">
        <f>Income_Statement!C19</f>
        <v>13831.049999999994</v>
      </c>
      <c r="D6" s="18">
        <f>Income_Statement!D19</f>
        <v>17247.140000000003</v>
      </c>
      <c r="E6" s="18">
        <f>Income_Statement!E19</f>
        <v>25521.720000000005</v>
      </c>
      <c r="F6" s="18">
        <f>Income_Statement!F19</f>
        <v>25291.929999999978</v>
      </c>
      <c r="G6" s="18">
        <f>Income_Statement!G19</f>
        <v>9938.469999999983</v>
      </c>
    </row>
    <row r="7" spans="2:15" ht="18.75" x14ac:dyDescent="0.25">
      <c r="B7" s="17" t="str">
        <f>Income_Statement!B20</f>
        <v>Finance Costs</v>
      </c>
      <c r="C7" s="18">
        <f>Income_Statement!C20</f>
        <v>4221.41</v>
      </c>
      <c r="D7" s="18">
        <f>Income_Statement!D20</f>
        <v>5072.2</v>
      </c>
      <c r="E7" s="18">
        <f>Income_Statement!E20</f>
        <v>5501.79</v>
      </c>
      <c r="F7" s="18">
        <f>Income_Statement!F20</f>
        <v>7660.1</v>
      </c>
      <c r="G7" s="18">
        <f>Income_Statement!G20</f>
        <v>7533.46</v>
      </c>
    </row>
    <row r="8" spans="2:15" ht="18.75" x14ac:dyDescent="0.25">
      <c r="B8" s="19" t="s">
        <v>172</v>
      </c>
      <c r="C8" s="19">
        <f>ROUND(C6/C7, 2)</f>
        <v>3.28</v>
      </c>
      <c r="D8" s="19">
        <f t="shared" ref="D8:G8" si="0">ROUND(D6/D7, 2)</f>
        <v>3.4</v>
      </c>
      <c r="E8" s="19">
        <f t="shared" si="0"/>
        <v>4.6399999999999997</v>
      </c>
      <c r="F8" s="19">
        <f t="shared" si="0"/>
        <v>3.3</v>
      </c>
      <c r="G8" s="19">
        <f t="shared" si="0"/>
        <v>1.32</v>
      </c>
    </row>
  </sheetData>
  <mergeCells count="1">
    <mergeCell ref="B5:G5"/>
  </mergeCells>
  <hyperlinks>
    <hyperlink ref="F1" location="Index_Data!A1" tooltip="Hi click here To return Index page" display="Index_Data!A1" xr:uid="{DF6200D3-FC06-4FA6-904B-1FA2CD6890B0}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C1CFC-B25E-4165-9A7B-F46D7FBDA058}">
  <sheetPr codeName="Sheet23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173</v>
      </c>
      <c r="C5" s="16"/>
      <c r="D5" s="16"/>
      <c r="E5" s="16"/>
      <c r="F5" s="16"/>
      <c r="G5" s="16"/>
    </row>
    <row r="6" spans="2:15" ht="18.75" x14ac:dyDescent="0.25">
      <c r="B6" s="17" t="str">
        <f>Income_Statement!B11</f>
        <v>Cost Of Materials Consumed</v>
      </c>
      <c r="C6" s="18">
        <f>Income_Statement!C11</f>
        <v>28114.9</v>
      </c>
      <c r="D6" s="18">
        <f>Income_Statement!D11</f>
        <v>32418.09</v>
      </c>
      <c r="E6" s="18">
        <f>Income_Statement!E11</f>
        <v>41205.43</v>
      </c>
      <c r="F6" s="18">
        <f>Income_Statement!F11</f>
        <v>54309.07</v>
      </c>
      <c r="G6" s="18">
        <f>Income_Statement!G11</f>
        <v>53244.21</v>
      </c>
    </row>
    <row r="7" spans="2:15" ht="18.75" x14ac:dyDescent="0.25">
      <c r="B7" s="17" t="str">
        <f>Income_Statement!B7</f>
        <v>Net Sales</v>
      </c>
      <c r="C7" s="18">
        <f>Income_Statement!C7</f>
        <v>105683.18</v>
      </c>
      <c r="D7" s="18">
        <f>Income_Statement!D7</f>
        <v>111562.05</v>
      </c>
      <c r="E7" s="18">
        <f>Income_Statement!E7</f>
        <v>130880.87</v>
      </c>
      <c r="F7" s="18">
        <f>Income_Statement!F7</f>
        <v>154691.63</v>
      </c>
      <c r="G7" s="18">
        <f>Income_Statement!G7</f>
        <v>136976.76</v>
      </c>
    </row>
    <row r="8" spans="2:15" ht="18.75" x14ac:dyDescent="0.25">
      <c r="B8" s="19" t="s">
        <v>174</v>
      </c>
      <c r="C8" s="19">
        <f>ROUND(C6/C7, 2)</f>
        <v>0.27</v>
      </c>
      <c r="D8" s="19">
        <f t="shared" ref="D8:G8" si="0">ROUND(D6/D7, 2)</f>
        <v>0.28999999999999998</v>
      </c>
      <c r="E8" s="19">
        <f t="shared" si="0"/>
        <v>0.31</v>
      </c>
      <c r="F8" s="19">
        <f t="shared" si="0"/>
        <v>0.35</v>
      </c>
      <c r="G8" s="19">
        <f t="shared" si="0"/>
        <v>0.39</v>
      </c>
    </row>
  </sheetData>
  <mergeCells count="1">
    <mergeCell ref="B5:G5"/>
  </mergeCells>
  <hyperlinks>
    <hyperlink ref="F1" location="Index_Data!A1" tooltip="Hi click here To return Index page" display="Index_Data!A1" xr:uid="{5CBA3C55-2A9A-4723-A8F1-B28F7EEECCAD}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E947D-5736-4547-81DA-B32A51BCCC44}">
  <sheetPr codeName="Sheet24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175</v>
      </c>
      <c r="C5" s="16"/>
      <c r="D5" s="16"/>
      <c r="E5" s="16"/>
      <c r="F5" s="16"/>
      <c r="G5" s="16"/>
    </row>
    <row r="6" spans="2:15" ht="18.75" x14ac:dyDescent="0.25">
      <c r="B6" s="17" t="str">
        <f>Balance_Sheet!B38</f>
        <v>Cash And Cash Equivalents</v>
      </c>
      <c r="C6" s="18">
        <f>Balance_Sheet!C38</f>
        <v>6186.34</v>
      </c>
      <c r="D6" s="18">
        <f>Balance_Sheet!D38</f>
        <v>21970.630000000008</v>
      </c>
      <c r="E6" s="18">
        <f>Balance_Sheet!E38</f>
        <v>33744.080000000016</v>
      </c>
      <c r="F6" s="18">
        <f>Balance_Sheet!F38</f>
        <v>37985.279999999984</v>
      </c>
      <c r="G6" s="18">
        <f>Balance_Sheet!G38</f>
        <v>45931.969999999972</v>
      </c>
    </row>
    <row r="7" spans="2:15" ht="18.75" x14ac:dyDescent="0.25">
      <c r="B7" s="17" t="str">
        <f>Income_Statement!B11</f>
        <v>Cost Of Materials Consumed</v>
      </c>
      <c r="C7" s="18">
        <f>Income_Statement!C11</f>
        <v>28114.9</v>
      </c>
      <c r="D7" s="18">
        <f>Income_Statement!D11</f>
        <v>32418.09</v>
      </c>
      <c r="E7" s="18">
        <f>Income_Statement!E11</f>
        <v>41205.43</v>
      </c>
      <c r="F7" s="18">
        <f>Income_Statement!F11</f>
        <v>54309.07</v>
      </c>
      <c r="G7" s="18">
        <f>Income_Statement!G11</f>
        <v>53244.21</v>
      </c>
    </row>
    <row r="8" spans="2:15" ht="18.75" x14ac:dyDescent="0.25">
      <c r="B8" s="19" t="s">
        <v>176</v>
      </c>
      <c r="C8" s="19">
        <f>ROUND(C6/C7*365, 2)</f>
        <v>80.31</v>
      </c>
      <c r="D8" s="19">
        <f t="shared" ref="D8:G8" si="0">ROUND(D6/D7*365, 2)</f>
        <v>247.37</v>
      </c>
      <c r="E8" s="19">
        <f t="shared" si="0"/>
        <v>298.91000000000003</v>
      </c>
      <c r="F8" s="19">
        <f t="shared" si="0"/>
        <v>255.29</v>
      </c>
      <c r="G8" s="19">
        <f t="shared" si="0"/>
        <v>314.87</v>
      </c>
    </row>
  </sheetData>
  <mergeCells count="1">
    <mergeCell ref="B5:G5"/>
  </mergeCells>
  <hyperlinks>
    <hyperlink ref="F1" location="Index_Data!A1" tooltip="Hi click here To return Index page" display="Index_Data!A1" xr:uid="{66645CC5-8E4B-4C02-A4B9-D075465E660A}"/>
  </hyperlink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4B6B1-1300-4A62-BC3A-99596EEB28B8}">
  <sheetPr codeName="Sheet25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4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177</v>
      </c>
      <c r="C5" s="16"/>
      <c r="D5" s="16"/>
      <c r="E5" s="16"/>
      <c r="F5" s="16"/>
      <c r="G5" s="16"/>
    </row>
    <row r="6" spans="2:15" ht="18.75" x14ac:dyDescent="0.25">
      <c r="B6" s="17" t="str">
        <f>Balance_Sheet!B38</f>
        <v>Cash And Cash Equivalents</v>
      </c>
      <c r="C6" s="18">
        <f>Balance_Sheet!C38</f>
        <v>6186.34</v>
      </c>
      <c r="D6" s="18">
        <f>Balance_Sheet!D38</f>
        <v>21970.630000000008</v>
      </c>
      <c r="E6" s="18">
        <f>Balance_Sheet!E38</f>
        <v>33744.080000000016</v>
      </c>
      <c r="F6" s="18">
        <f>Balance_Sheet!F38</f>
        <v>37985.279999999984</v>
      </c>
      <c r="G6" s="18">
        <f>Balance_Sheet!G38</f>
        <v>45931.969999999972</v>
      </c>
    </row>
    <row r="7" spans="2:15" ht="18.75" x14ac:dyDescent="0.25">
      <c r="B7" s="17" t="s">
        <v>178</v>
      </c>
      <c r="C7" s="18">
        <v>365</v>
      </c>
      <c r="D7" s="18">
        <v>365</v>
      </c>
      <c r="E7" s="18">
        <v>365</v>
      </c>
      <c r="F7" s="18">
        <v>365</v>
      </c>
      <c r="G7" s="18">
        <v>365</v>
      </c>
    </row>
    <row r="8" spans="2:15" ht="18.75" x14ac:dyDescent="0.25">
      <c r="B8" s="19" t="s">
        <v>179</v>
      </c>
      <c r="C8" s="19">
        <f>ROUND(C6/C7*365, 2)</f>
        <v>6186.34</v>
      </c>
      <c r="D8" s="19">
        <f t="shared" ref="D8:G8" si="0">ROUND(D6/D7*365, 2)</f>
        <v>21970.63</v>
      </c>
      <c r="E8" s="19">
        <f t="shared" si="0"/>
        <v>33744.080000000002</v>
      </c>
      <c r="F8" s="19">
        <f t="shared" si="0"/>
        <v>37985.279999999999</v>
      </c>
      <c r="G8" s="19">
        <f t="shared" si="0"/>
        <v>45931.97</v>
      </c>
    </row>
  </sheetData>
  <mergeCells count="1">
    <mergeCell ref="B5:G5"/>
  </mergeCells>
  <hyperlinks>
    <hyperlink ref="F1" location="Index_Data!A1" tooltip="Hi click here To return Index page" display="Index_Data!A1" xr:uid="{983FA8D5-C43E-4C90-9613-767068FE6E84}"/>
  </hyperlink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C80BF-1E8C-4766-A05D-30D0C19BC824}">
  <sheetPr codeName="Sheet26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180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Balance_Sheet!B40</f>
        <v>Total Assets</v>
      </c>
      <c r="C7" s="18">
        <f>Balance_Sheet!C40</f>
        <v>175236.44000000003</v>
      </c>
      <c r="D7" s="18">
        <f>Balance_Sheet!D40</f>
        <v>180945.45</v>
      </c>
      <c r="E7" s="18">
        <f>Balance_Sheet!E40</f>
        <v>219375.57</v>
      </c>
      <c r="F7" s="18">
        <f>Balance_Sheet!F40</f>
        <v>244568.61</v>
      </c>
      <c r="G7" s="18">
        <f>Balance_Sheet!G40</f>
        <v>256190.29999999993</v>
      </c>
    </row>
    <row r="8" spans="2:15" ht="18.75" x14ac:dyDescent="0.25">
      <c r="B8" s="19" t="s">
        <v>181</v>
      </c>
      <c r="C8" s="19">
        <f>ROUND(C6/C7, 2)</f>
        <v>0.6</v>
      </c>
      <c r="D8" s="19">
        <f t="shared" ref="D8:G8" si="0">ROUND(D6/D7, 2)</f>
        <v>0.64</v>
      </c>
      <c r="E8" s="19">
        <f t="shared" si="0"/>
        <v>0.6</v>
      </c>
      <c r="F8" s="19">
        <f t="shared" si="0"/>
        <v>0.63</v>
      </c>
      <c r="G8" s="19">
        <f t="shared" si="0"/>
        <v>0.53</v>
      </c>
    </row>
  </sheetData>
  <mergeCells count="1">
    <mergeCell ref="B5:G5"/>
  </mergeCells>
  <hyperlinks>
    <hyperlink ref="F1" location="Index_Data!A1" tooltip="Hi click here To return Index page" display="Index_Data!A1" xr:uid="{6168FA1A-A53D-4184-A03B-7D591C6752B5}"/>
  </hyperlink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97D2F-CD15-4338-A5BA-01C8DCB83975}">
  <sheetPr codeName="Sheet27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182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Balance_Sheet!B36</f>
        <v>Inventories</v>
      </c>
      <c r="C7" s="18">
        <f>Balance_Sheet!C36</f>
        <v>20013.330000000002</v>
      </c>
      <c r="D7" s="18">
        <f>Balance_Sheet!D36</f>
        <v>24803.82</v>
      </c>
      <c r="E7" s="18">
        <f>Balance_Sheet!E36</f>
        <v>28331.040000000001</v>
      </c>
      <c r="F7" s="18">
        <f>Balance_Sheet!F36</f>
        <v>31656.1</v>
      </c>
      <c r="G7" s="18">
        <f>Balance_Sheet!G36</f>
        <v>31068.720000000001</v>
      </c>
    </row>
    <row r="8" spans="2:15" ht="18.75" x14ac:dyDescent="0.25">
      <c r="B8" s="19" t="s">
        <v>183</v>
      </c>
      <c r="C8" s="19">
        <f>ROUND(C6/C7, 2)</f>
        <v>5.28</v>
      </c>
      <c r="D8" s="19">
        <f t="shared" ref="D8:G8" si="0">ROUND(D6/D7, 2)</f>
        <v>4.7</v>
      </c>
      <c r="E8" s="19">
        <f t="shared" si="0"/>
        <v>4.6500000000000004</v>
      </c>
      <c r="F8" s="19">
        <f t="shared" si="0"/>
        <v>4.8899999999999997</v>
      </c>
      <c r="G8" s="19">
        <f t="shared" si="0"/>
        <v>4.41</v>
      </c>
    </row>
  </sheetData>
  <mergeCells count="1">
    <mergeCell ref="B5:G5"/>
  </mergeCells>
  <hyperlinks>
    <hyperlink ref="F1" location="Index_Data!A1" tooltip="Hi click here To return Index page" display="Index_Data!A1" xr:uid="{772D758C-8B0F-4CBC-BA66-EA5B9F23FDA2}"/>
  </hyperlink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B3F7-7001-41E3-A82D-C130B90081B1}">
  <sheetPr codeName="Sheet28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184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Balance_Sheet!B37</f>
        <v>Trade Receivables</v>
      </c>
      <c r="C7" s="18">
        <f>Balance_Sheet!C37</f>
        <v>12066.22</v>
      </c>
      <c r="D7" s="18">
        <f>Balance_Sheet!D37</f>
        <v>11586.82</v>
      </c>
      <c r="E7" s="18">
        <f>Balance_Sheet!E37</f>
        <v>12415.52</v>
      </c>
      <c r="F7" s="18">
        <f>Balance_Sheet!F37</f>
        <v>11811</v>
      </c>
      <c r="G7" s="18">
        <f>Balance_Sheet!G37</f>
        <v>7884.91</v>
      </c>
    </row>
    <row r="8" spans="2:15" ht="18.75" x14ac:dyDescent="0.25">
      <c r="B8" s="19" t="s">
        <v>185</v>
      </c>
      <c r="C8" s="19">
        <f>ROUND(C6/C7, 2)</f>
        <v>8.76</v>
      </c>
      <c r="D8" s="19">
        <f t="shared" ref="D8:G8" si="0">ROUND(D6/D7, 2)</f>
        <v>10.07</v>
      </c>
      <c r="E8" s="19">
        <f t="shared" si="0"/>
        <v>10.61</v>
      </c>
      <c r="F8" s="19">
        <f t="shared" si="0"/>
        <v>13.1</v>
      </c>
      <c r="G8" s="19">
        <f t="shared" si="0"/>
        <v>17.37</v>
      </c>
    </row>
  </sheetData>
  <mergeCells count="1">
    <mergeCell ref="B5:G5"/>
  </mergeCells>
  <hyperlinks>
    <hyperlink ref="F1" location="Index_Data!A1" tooltip="Hi click here To return Index page" display="Index_Data!A1" xr:uid="{B076BF8D-ED27-4AC0-9303-F301A30B9146}"/>
  </hyperlink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1084A-9313-4D7F-BDCE-4522978E8A74}">
  <sheetPr codeName="Sheet29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186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Balance_Sheet!B23</f>
        <v>Tangible Assets</v>
      </c>
      <c r="C7" s="18">
        <f>Balance_Sheet!C23</f>
        <v>66569.240000000005</v>
      </c>
      <c r="D7" s="18">
        <f>Balance_Sheet!D23</f>
        <v>86880.59</v>
      </c>
      <c r="E7" s="18">
        <f>Balance_Sheet!E23</f>
        <v>90322.78</v>
      </c>
      <c r="F7" s="18">
        <f>Balance_Sheet!F23</f>
        <v>118450.97</v>
      </c>
      <c r="G7" s="18">
        <f>Balance_Sheet!G23</f>
        <v>128053.75999999999</v>
      </c>
    </row>
    <row r="8" spans="2:15" ht="18.75" x14ac:dyDescent="0.25">
      <c r="B8" s="19" t="s">
        <v>187</v>
      </c>
      <c r="C8" s="19">
        <f>ROUND(C6/C7, 2)</f>
        <v>1.59</v>
      </c>
      <c r="D8" s="19">
        <f t="shared" ref="D8:G8" si="0">ROUND(D6/D7, 2)</f>
        <v>1.34</v>
      </c>
      <c r="E8" s="19">
        <f t="shared" si="0"/>
        <v>1.46</v>
      </c>
      <c r="F8" s="19">
        <f t="shared" si="0"/>
        <v>1.31</v>
      </c>
      <c r="G8" s="19">
        <f t="shared" si="0"/>
        <v>1.07</v>
      </c>
    </row>
  </sheetData>
  <mergeCells count="1">
    <mergeCell ref="B5:G5"/>
  </mergeCells>
  <hyperlinks>
    <hyperlink ref="F1" location="Index_Data!A1" tooltip="Hi click here To return Index page" display="Index_Data!A1" xr:uid="{554ADCEC-AF82-42BC-9845-1EF12CDA9D22}"/>
  </hyperlink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8F24B-6166-46FB-B369-6966113DA0D7}">
  <sheetPr codeName="Sheet30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188</v>
      </c>
      <c r="C5" s="16"/>
      <c r="D5" s="16"/>
      <c r="E5" s="16"/>
      <c r="F5" s="16"/>
      <c r="G5" s="16"/>
    </row>
    <row r="6" spans="2:15" ht="18.75" x14ac:dyDescent="0.25">
      <c r="B6" s="17" t="str">
        <f>Income_Statement!B11</f>
        <v>Cost Of Materials Consumed</v>
      </c>
      <c r="C6" s="18">
        <f>Income_Statement!C11</f>
        <v>28114.9</v>
      </c>
      <c r="D6" s="18">
        <f>Income_Statement!D11</f>
        <v>32418.09</v>
      </c>
      <c r="E6" s="18">
        <f>Income_Statement!E11</f>
        <v>41205.43</v>
      </c>
      <c r="F6" s="18">
        <f>Income_Statement!F11</f>
        <v>54309.07</v>
      </c>
      <c r="G6" s="18">
        <f>Income_Statement!G11</f>
        <v>53244.21</v>
      </c>
    </row>
    <row r="7" spans="2:15" ht="18.75" x14ac:dyDescent="0.25">
      <c r="B7" s="17" t="str">
        <f>Balance_Sheet!B19</f>
        <v>Total Current Liabilities</v>
      </c>
      <c r="C7" s="18">
        <f>Balance_Sheet!C19</f>
        <v>42982.16</v>
      </c>
      <c r="D7" s="18">
        <f>Balance_Sheet!D19</f>
        <v>41531.770000000004</v>
      </c>
      <c r="E7" s="18">
        <f>Balance_Sheet!E19</f>
        <v>48706.84</v>
      </c>
      <c r="F7" s="18">
        <f>Balance_Sheet!F19</f>
        <v>58688.149999999994</v>
      </c>
      <c r="G7" s="18">
        <f>Balance_Sheet!G19</f>
        <v>51705.72</v>
      </c>
    </row>
    <row r="8" spans="2:15" ht="18.75" x14ac:dyDescent="0.25">
      <c r="B8" s="19" t="s">
        <v>189</v>
      </c>
      <c r="C8" s="19">
        <f>ROUND(C6/C7, 2)</f>
        <v>0.65</v>
      </c>
      <c r="D8" s="19">
        <f t="shared" ref="D8:G8" si="0">ROUND(D6/D7, 2)</f>
        <v>0.78</v>
      </c>
      <c r="E8" s="19">
        <f t="shared" si="0"/>
        <v>0.85</v>
      </c>
      <c r="F8" s="19">
        <f t="shared" si="0"/>
        <v>0.93</v>
      </c>
      <c r="G8" s="19">
        <f t="shared" si="0"/>
        <v>1.03</v>
      </c>
    </row>
  </sheetData>
  <mergeCells count="1">
    <mergeCell ref="B5:G5"/>
  </mergeCells>
  <hyperlinks>
    <hyperlink ref="F1" location="Index_Data!A1" tooltip="Hi click here To return Index page" display="Index_Data!A1" xr:uid="{72A54DE5-0E56-45EC-B18E-A8EA96904DE4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CAE3F-FEED-4D1C-A99F-1C40AF3B04A0}">
  <sheetPr codeName="Sheet4"/>
  <dimension ref="B1:O40"/>
  <sheetViews>
    <sheetView showGridLines="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7" t="s">
        <v>66</v>
      </c>
      <c r="C3" s="8"/>
      <c r="D3" s="8"/>
      <c r="E3" s="8"/>
      <c r="F3" s="8"/>
      <c r="G3" s="8"/>
    </row>
    <row r="4" spans="2:15" ht="18.75" x14ac:dyDescent="0.25">
      <c r="B4" s="9" t="s">
        <v>57</v>
      </c>
      <c r="C4" s="9">
        <v>2015</v>
      </c>
      <c r="D4" s="9">
        <v>2016</v>
      </c>
      <c r="E4" s="9">
        <v>2017</v>
      </c>
      <c r="F4" s="9">
        <v>2018</v>
      </c>
      <c r="G4" s="9">
        <v>2019</v>
      </c>
    </row>
    <row r="5" spans="2:15" ht="18.75" x14ac:dyDescent="0.25">
      <c r="B5" s="5" t="s">
        <v>0</v>
      </c>
      <c r="C5" s="2">
        <v>970.24</v>
      </c>
      <c r="D5" s="2">
        <v>970.24</v>
      </c>
      <c r="E5" s="2">
        <v>1144.95</v>
      </c>
      <c r="F5" s="1">
        <v>1144.94</v>
      </c>
      <c r="G5" s="1">
        <v>1144.95</v>
      </c>
    </row>
    <row r="6" spans="2:15" ht="18.75" x14ac:dyDescent="0.25">
      <c r="B6" s="5" t="s">
        <v>59</v>
      </c>
      <c r="C6" s="1"/>
      <c r="D6" s="1"/>
      <c r="E6" s="1"/>
      <c r="F6" s="1"/>
      <c r="G6" s="1"/>
    </row>
    <row r="7" spans="2:15" ht="18.75" x14ac:dyDescent="0.25">
      <c r="B7" s="6" t="s">
        <v>1</v>
      </c>
      <c r="C7" s="4">
        <f>C5+C6</f>
        <v>970.24</v>
      </c>
      <c r="D7" s="4">
        <f t="shared" ref="D7:G7" si="0">D5+D6</f>
        <v>970.24</v>
      </c>
      <c r="E7" s="4">
        <f t="shared" si="0"/>
        <v>1144.95</v>
      </c>
      <c r="F7" s="4">
        <f t="shared" si="0"/>
        <v>1144.94</v>
      </c>
      <c r="G7" s="4">
        <f t="shared" si="0"/>
        <v>1144.95</v>
      </c>
    </row>
    <row r="8" spans="2:15" ht="18.75" x14ac:dyDescent="0.25">
      <c r="B8" s="5" t="s">
        <v>2</v>
      </c>
      <c r="C8" s="2">
        <v>40487.31</v>
      </c>
      <c r="D8" s="2">
        <f>Income_Statement!D30+C8</f>
        <v>44461.29</v>
      </c>
      <c r="E8" s="2">
        <f>Income_Statement!E30+D8</f>
        <v>69343.3</v>
      </c>
      <c r="F8" s="2">
        <f>Income_Statement!F30+E8</f>
        <v>78766.359999999986</v>
      </c>
      <c r="G8" s="2">
        <f>Income_Statement!G30+F8</f>
        <v>78202.199999999968</v>
      </c>
    </row>
    <row r="9" spans="2:15" ht="18.75" x14ac:dyDescent="0.25">
      <c r="B9" s="6" t="s">
        <v>60</v>
      </c>
      <c r="C9" s="4">
        <f>C7+C8</f>
        <v>41457.549999999996</v>
      </c>
      <c r="D9" s="4">
        <f t="shared" ref="D9:G9" si="1">D7+D8</f>
        <v>45431.53</v>
      </c>
      <c r="E9" s="4">
        <f t="shared" si="1"/>
        <v>70488.25</v>
      </c>
      <c r="F9" s="4">
        <f t="shared" si="1"/>
        <v>79911.299999999988</v>
      </c>
      <c r="G9" s="4">
        <f t="shared" si="1"/>
        <v>79347.149999999965</v>
      </c>
    </row>
    <row r="10" spans="2:15" ht="18.75" x14ac:dyDescent="0.25">
      <c r="B10" s="5" t="s">
        <v>4</v>
      </c>
      <c r="C10" s="2">
        <v>64872.78</v>
      </c>
      <c r="D10" s="2">
        <v>64022.27</v>
      </c>
      <c r="E10" s="2">
        <v>72789.100000000006</v>
      </c>
      <c r="F10" s="2">
        <v>80342.73</v>
      </c>
      <c r="G10" s="2">
        <v>94104.97</v>
      </c>
    </row>
    <row r="11" spans="2:15" ht="18.75" x14ac:dyDescent="0.25">
      <c r="B11" s="5" t="s">
        <v>5</v>
      </c>
      <c r="C11" s="2">
        <v>9420.89</v>
      </c>
      <c r="D11" s="2">
        <v>10030.08</v>
      </c>
      <c r="E11" s="2">
        <v>10569.88</v>
      </c>
      <c r="F11" s="2">
        <v>12459.89</v>
      </c>
      <c r="G11" s="2">
        <v>9261.3799999999992</v>
      </c>
    </row>
    <row r="12" spans="2:15" ht="18.75" x14ac:dyDescent="0.25">
      <c r="B12" s="5" t="s">
        <v>8</v>
      </c>
      <c r="C12" s="2">
        <v>15722.12</v>
      </c>
      <c r="D12" s="2">
        <v>18328.099999999999</v>
      </c>
      <c r="E12" s="2">
        <v>15884.98</v>
      </c>
      <c r="F12" s="2">
        <v>10802.08</v>
      </c>
      <c r="G12" s="2">
        <v>19184.48</v>
      </c>
    </row>
    <row r="13" spans="2:15" ht="18.75" x14ac:dyDescent="0.25">
      <c r="B13" s="6" t="s">
        <v>61</v>
      </c>
      <c r="C13" s="4">
        <f>C10+C11+C12</f>
        <v>90015.79</v>
      </c>
      <c r="D13" s="4">
        <f t="shared" ref="D13:G13" si="2">D10+D11+D12</f>
        <v>92380.449999999983</v>
      </c>
      <c r="E13" s="4">
        <f t="shared" si="2"/>
        <v>99243.96</v>
      </c>
      <c r="F13" s="4">
        <f t="shared" si="2"/>
        <v>103604.7</v>
      </c>
      <c r="G13" s="4">
        <f t="shared" si="2"/>
        <v>122550.83</v>
      </c>
    </row>
    <row r="14" spans="2:15" ht="18.75" x14ac:dyDescent="0.25">
      <c r="B14" s="5" t="s">
        <v>7</v>
      </c>
      <c r="C14" s="2">
        <v>4440.4799999999996</v>
      </c>
      <c r="D14" s="2">
        <v>4279.6899999999996</v>
      </c>
      <c r="E14" s="2">
        <v>4338.24</v>
      </c>
      <c r="F14" s="2">
        <v>4046.21</v>
      </c>
      <c r="G14" s="2">
        <v>4235.07</v>
      </c>
    </row>
    <row r="15" spans="2:15" ht="18.75" x14ac:dyDescent="0.25">
      <c r="B15" s="5" t="s">
        <v>11</v>
      </c>
      <c r="C15" s="2">
        <v>1521.86</v>
      </c>
      <c r="D15" s="2">
        <v>987.38</v>
      </c>
      <c r="E15" s="2">
        <v>1269.6400000000001</v>
      </c>
      <c r="F15" s="1">
        <v>1248.72</v>
      </c>
      <c r="G15" s="2">
        <v>1663.67</v>
      </c>
    </row>
    <row r="16" spans="2:15" ht="18.75" x14ac:dyDescent="0.25">
      <c r="B16" s="5" t="s">
        <v>6</v>
      </c>
      <c r="C16" s="2">
        <v>6309.83</v>
      </c>
      <c r="D16" s="2">
        <v>5239.13</v>
      </c>
      <c r="E16" s="2">
        <v>4592.17</v>
      </c>
      <c r="F16" s="2">
        <v>4409.8900000000003</v>
      </c>
      <c r="G16" s="2">
        <v>4994.22</v>
      </c>
    </row>
    <row r="17" spans="2:7" ht="18.75" x14ac:dyDescent="0.25">
      <c r="B17" s="5" t="s">
        <v>9</v>
      </c>
      <c r="C17" s="2">
        <v>18556.7</v>
      </c>
      <c r="D17" s="2">
        <v>18574.46</v>
      </c>
      <c r="E17" s="2">
        <v>20413.810000000001</v>
      </c>
      <c r="F17" s="2">
        <v>21716.959999999999</v>
      </c>
      <c r="G17" s="2">
        <v>21380.85</v>
      </c>
    </row>
    <row r="18" spans="2:7" ht="18.75" x14ac:dyDescent="0.25">
      <c r="B18" s="5" t="s">
        <v>10</v>
      </c>
      <c r="C18" s="2">
        <v>12153.29</v>
      </c>
      <c r="D18" s="2">
        <v>12451.11</v>
      </c>
      <c r="E18" s="2">
        <v>18092.98</v>
      </c>
      <c r="F18" s="2">
        <v>27266.37</v>
      </c>
      <c r="G18" s="2">
        <v>19431.91</v>
      </c>
    </row>
    <row r="19" spans="2:7" ht="18.75" x14ac:dyDescent="0.25">
      <c r="B19" s="6" t="s">
        <v>12</v>
      </c>
      <c r="C19" s="4">
        <f>C14+C15+C16+C17+C18</f>
        <v>42982.16</v>
      </c>
      <c r="D19" s="4">
        <f t="shared" ref="D19:G19" si="3">D14+D15+D16+D17+D18</f>
        <v>41531.770000000004</v>
      </c>
      <c r="E19" s="4">
        <f t="shared" si="3"/>
        <v>48706.84</v>
      </c>
      <c r="F19" s="4">
        <f t="shared" si="3"/>
        <v>58688.149999999994</v>
      </c>
      <c r="G19" s="4">
        <f t="shared" si="3"/>
        <v>51705.72</v>
      </c>
    </row>
    <row r="20" spans="2:7" ht="18.75" x14ac:dyDescent="0.25">
      <c r="B20" s="5" t="s">
        <v>3</v>
      </c>
      <c r="C20" s="2">
        <v>780.94</v>
      </c>
      <c r="D20" s="2">
        <v>1601.7</v>
      </c>
      <c r="E20" s="1">
        <v>936.52</v>
      </c>
      <c r="F20" s="2">
        <v>2364.46</v>
      </c>
      <c r="G20" s="1">
        <v>2586.6</v>
      </c>
    </row>
    <row r="21" spans="2:7" ht="18.75" x14ac:dyDescent="0.25">
      <c r="B21" s="6" t="s">
        <v>62</v>
      </c>
      <c r="C21" s="4">
        <f>C9+C13+C19+C20</f>
        <v>175236.44</v>
      </c>
      <c r="D21" s="4">
        <f t="shared" ref="D21:G21" si="4">D9+D13+D19+D20</f>
        <v>180945.45</v>
      </c>
      <c r="E21" s="4">
        <f t="shared" si="4"/>
        <v>219375.57</v>
      </c>
      <c r="F21" s="4">
        <f t="shared" si="4"/>
        <v>244568.61</v>
      </c>
      <c r="G21" s="4">
        <f t="shared" si="4"/>
        <v>256190.3</v>
      </c>
    </row>
    <row r="22" spans="2:7" ht="18.75" x14ac:dyDescent="0.25">
      <c r="B22" s="5"/>
      <c r="C22" s="2"/>
      <c r="D22" s="1"/>
      <c r="E22" s="1"/>
      <c r="F22" s="1"/>
      <c r="G22" s="1"/>
    </row>
    <row r="23" spans="2:7" ht="18.75" x14ac:dyDescent="0.25">
      <c r="B23" s="5" t="s">
        <v>13</v>
      </c>
      <c r="C23" s="2">
        <v>66569.240000000005</v>
      </c>
      <c r="D23" s="2">
        <v>86880.59</v>
      </c>
      <c r="E23" s="2">
        <v>90322.78</v>
      </c>
      <c r="F23" s="2">
        <v>118450.97</v>
      </c>
      <c r="G23" s="2">
        <v>128053.75999999999</v>
      </c>
    </row>
    <row r="24" spans="2:7" ht="18.75" x14ac:dyDescent="0.25">
      <c r="B24" s="5" t="s">
        <v>14</v>
      </c>
      <c r="C24" s="2">
        <v>1562.96</v>
      </c>
      <c r="D24" s="2">
        <v>1631.23</v>
      </c>
      <c r="E24" s="2">
        <v>1682.66</v>
      </c>
      <c r="F24" s="2">
        <v>1994.32</v>
      </c>
      <c r="G24" s="2">
        <v>2442.37</v>
      </c>
    </row>
    <row r="25" spans="2:7" ht="18.75" x14ac:dyDescent="0.25">
      <c r="B25" s="5" t="s">
        <v>63</v>
      </c>
      <c r="C25" s="1"/>
      <c r="D25" s="2">
        <f>Income_Statement!D18</f>
        <v>5672.88</v>
      </c>
      <c r="E25" s="2">
        <f>Income_Statement!E18+D25</f>
        <v>11634.54</v>
      </c>
      <c r="F25" s="2">
        <f>Income_Statement!F18+E25</f>
        <v>18976.370000000003</v>
      </c>
      <c r="G25" s="2">
        <f>Income_Statement!G18+F25</f>
        <v>27417.100000000002</v>
      </c>
    </row>
    <row r="26" spans="2:7" ht="18.75" x14ac:dyDescent="0.25">
      <c r="B26" s="6" t="s">
        <v>64</v>
      </c>
      <c r="C26" s="4">
        <f>C23+C24-C25</f>
        <v>68132.200000000012</v>
      </c>
      <c r="D26" s="4">
        <f t="shared" ref="D26:G26" si="5">D23+D24-D25</f>
        <v>82838.939999999988</v>
      </c>
      <c r="E26" s="4">
        <f t="shared" si="5"/>
        <v>80370.899999999994</v>
      </c>
      <c r="F26" s="4">
        <f t="shared" si="5"/>
        <v>101468.92000000001</v>
      </c>
      <c r="G26" s="4">
        <f t="shared" si="5"/>
        <v>103079.02999999998</v>
      </c>
    </row>
    <row r="27" spans="2:7" ht="18.75" x14ac:dyDescent="0.25">
      <c r="B27" s="5" t="s">
        <v>16</v>
      </c>
      <c r="C27" s="2">
        <v>6050.16</v>
      </c>
      <c r="D27" s="2">
        <v>6783.99</v>
      </c>
      <c r="E27" s="2">
        <v>2990.5</v>
      </c>
      <c r="F27" s="2">
        <v>3213.31</v>
      </c>
      <c r="G27" s="2">
        <v>2853.31</v>
      </c>
    </row>
    <row r="28" spans="2:7" ht="18.75" x14ac:dyDescent="0.25">
      <c r="B28" s="5" t="s">
        <v>20</v>
      </c>
      <c r="C28" s="2">
        <v>4663.55</v>
      </c>
      <c r="D28" s="2">
        <v>5673.13</v>
      </c>
      <c r="E28" s="2">
        <v>14908.97</v>
      </c>
      <c r="F28" s="2">
        <v>2524.86</v>
      </c>
      <c r="G28" s="2">
        <v>3431.87</v>
      </c>
    </row>
    <row r="29" spans="2:7" ht="18.75" x14ac:dyDescent="0.25">
      <c r="B29" s="5" t="s">
        <v>15</v>
      </c>
      <c r="C29" s="2">
        <v>37788.65</v>
      </c>
      <c r="D29" s="2">
        <v>15514.37</v>
      </c>
      <c r="E29" s="2">
        <v>16159.8</v>
      </c>
      <c r="F29" s="2">
        <v>17956.509999999998</v>
      </c>
      <c r="G29" s="2">
        <v>18862.060000000001</v>
      </c>
    </row>
    <row r="30" spans="2:7" ht="18.75" x14ac:dyDescent="0.25">
      <c r="B30" s="6" t="s">
        <v>65</v>
      </c>
      <c r="C30" s="4">
        <f>C26+C27+C28+C29</f>
        <v>116634.56000000003</v>
      </c>
      <c r="D30" s="4">
        <f t="shared" ref="D30:G30" si="6">D26+D27+D28+D29</f>
        <v>110810.43</v>
      </c>
      <c r="E30" s="4">
        <f t="shared" si="6"/>
        <v>114430.17</v>
      </c>
      <c r="F30" s="4">
        <f t="shared" si="6"/>
        <v>125163.6</v>
      </c>
      <c r="G30" s="4">
        <f t="shared" si="6"/>
        <v>128226.26999999997</v>
      </c>
    </row>
    <row r="31" spans="2:7" ht="18.75" x14ac:dyDescent="0.25">
      <c r="B31" s="5" t="s">
        <v>17</v>
      </c>
      <c r="C31" s="2">
        <v>627.45000000000005</v>
      </c>
      <c r="D31" s="1">
        <v>885.87</v>
      </c>
      <c r="E31" s="2">
        <v>1035.8</v>
      </c>
      <c r="F31" s="1">
        <v>808.95</v>
      </c>
      <c r="G31" s="1">
        <v>1270.33</v>
      </c>
    </row>
    <row r="32" spans="2:7" ht="18.75" x14ac:dyDescent="0.25">
      <c r="B32" s="5" t="s">
        <v>18</v>
      </c>
      <c r="C32" s="1">
        <v>412.23</v>
      </c>
      <c r="D32" s="1">
        <v>373.06</v>
      </c>
      <c r="E32" s="1">
        <v>717.34</v>
      </c>
      <c r="F32" s="1">
        <v>613.34</v>
      </c>
      <c r="G32" s="1">
        <v>488.71</v>
      </c>
    </row>
    <row r="33" spans="2:7" ht="18.75" x14ac:dyDescent="0.25">
      <c r="B33" s="5" t="s">
        <v>19</v>
      </c>
      <c r="C33" s="2">
        <v>16433.79</v>
      </c>
      <c r="D33" s="2">
        <v>6564.61</v>
      </c>
      <c r="E33" s="2">
        <v>24417.84</v>
      </c>
      <c r="F33" s="2">
        <v>26872.69</v>
      </c>
      <c r="G33" s="2">
        <v>33026.89</v>
      </c>
    </row>
    <row r="34" spans="2:7" ht="18.75" x14ac:dyDescent="0.25">
      <c r="B34" s="5" t="s">
        <v>24</v>
      </c>
      <c r="C34" s="1">
        <v>207.42</v>
      </c>
      <c r="D34" s="1">
        <v>224.5</v>
      </c>
      <c r="E34" s="1">
        <v>256.48</v>
      </c>
      <c r="F34" s="1">
        <v>239.7</v>
      </c>
      <c r="G34" s="1">
        <v>215.68</v>
      </c>
    </row>
    <row r="35" spans="2:7" ht="18.75" x14ac:dyDescent="0.25">
      <c r="B35" s="5" t="s">
        <v>25</v>
      </c>
      <c r="C35" s="2">
        <v>2655.1</v>
      </c>
      <c r="D35" s="2">
        <v>3725.71</v>
      </c>
      <c r="E35" s="2">
        <v>4027.3</v>
      </c>
      <c r="F35" s="2">
        <v>9417.9500000000007</v>
      </c>
      <c r="G35" s="2">
        <v>8076.82</v>
      </c>
    </row>
    <row r="36" spans="2:7" ht="18.75" x14ac:dyDescent="0.25">
      <c r="B36" s="5" t="s">
        <v>21</v>
      </c>
      <c r="C36" s="2">
        <v>20013.330000000002</v>
      </c>
      <c r="D36" s="2">
        <v>24803.82</v>
      </c>
      <c r="E36" s="2">
        <v>28331.040000000001</v>
      </c>
      <c r="F36" s="2">
        <v>31656.1</v>
      </c>
      <c r="G36" s="2">
        <v>31068.720000000001</v>
      </c>
    </row>
    <row r="37" spans="2:7" ht="18.75" x14ac:dyDescent="0.25">
      <c r="B37" s="5" t="s">
        <v>22</v>
      </c>
      <c r="C37" s="2">
        <v>12066.22</v>
      </c>
      <c r="D37" s="2">
        <v>11586.82</v>
      </c>
      <c r="E37" s="2">
        <v>12415.52</v>
      </c>
      <c r="F37" s="2">
        <v>11811</v>
      </c>
      <c r="G37" s="2">
        <v>7884.91</v>
      </c>
    </row>
    <row r="38" spans="2:7" ht="18.75" x14ac:dyDescent="0.25">
      <c r="B38" s="5" t="s">
        <v>23</v>
      </c>
      <c r="C38" s="2">
        <v>6186.34</v>
      </c>
      <c r="D38" s="2">
        <f>CashFlow_Statement!D48+C38</f>
        <v>21970.630000000008</v>
      </c>
      <c r="E38" s="2">
        <f>CashFlow_Statement!E48+D38</f>
        <v>33744.080000000016</v>
      </c>
      <c r="F38" s="2">
        <f>CashFlow_Statement!F48+E38</f>
        <v>37985.279999999984</v>
      </c>
      <c r="G38" s="2">
        <f>CashFlow_Statement!G48+F38</f>
        <v>45931.969999999972</v>
      </c>
    </row>
    <row r="39" spans="2:7" ht="18.75" x14ac:dyDescent="0.25">
      <c r="B39" s="6" t="s">
        <v>26</v>
      </c>
      <c r="C39" s="4">
        <f>C31+C32+C33+C34+C35+C36+C37+C38</f>
        <v>58601.880000000005</v>
      </c>
      <c r="D39" s="4">
        <f t="shared" ref="D39:G39" si="7">D31+D32+D33+D34+D35+D36+D37+D38</f>
        <v>70135.02</v>
      </c>
      <c r="E39" s="4">
        <f t="shared" si="7"/>
        <v>104945.40000000002</v>
      </c>
      <c r="F39" s="4">
        <f t="shared" si="7"/>
        <v>119405.01</v>
      </c>
      <c r="G39" s="4">
        <f t="shared" si="7"/>
        <v>127964.02999999997</v>
      </c>
    </row>
    <row r="40" spans="2:7" ht="18.75" x14ac:dyDescent="0.25">
      <c r="B40" s="6" t="s">
        <v>27</v>
      </c>
      <c r="C40" s="4">
        <f>C30+C39</f>
        <v>175236.44000000003</v>
      </c>
      <c r="D40" s="4">
        <f t="shared" ref="D40:G40" si="8">D30+D39</f>
        <v>180945.45</v>
      </c>
      <c r="E40" s="4">
        <f t="shared" si="8"/>
        <v>219375.57</v>
      </c>
      <c r="F40" s="4">
        <f t="shared" si="8"/>
        <v>244568.61</v>
      </c>
      <c r="G40" s="4">
        <f t="shared" si="8"/>
        <v>256190.29999999993</v>
      </c>
    </row>
  </sheetData>
  <mergeCells count="1">
    <mergeCell ref="B3:G3"/>
  </mergeCells>
  <hyperlinks>
    <hyperlink ref="F1" location="Index_Data!A1" tooltip="Hi click here To return Index page" display="Index_Data!A1" xr:uid="{17432D2A-4C44-4647-981C-D10C23E6195F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A142B-20DD-4E1E-B390-AB61AE07EBE5}">
  <sheetPr codeName="Sheet31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190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Balance_Sheet!B36</f>
        <v>Inventories</v>
      </c>
      <c r="C7" s="18">
        <f>Balance_Sheet!C36</f>
        <v>20013.330000000002</v>
      </c>
      <c r="D7" s="18">
        <f>Balance_Sheet!D36</f>
        <v>24803.82</v>
      </c>
      <c r="E7" s="18">
        <f>Balance_Sheet!E36</f>
        <v>28331.040000000001</v>
      </c>
      <c r="F7" s="18">
        <f>Balance_Sheet!F36</f>
        <v>31656.1</v>
      </c>
      <c r="G7" s="18">
        <f>Balance_Sheet!G36</f>
        <v>31068.720000000001</v>
      </c>
    </row>
    <row r="8" spans="2:15" ht="18.75" x14ac:dyDescent="0.25">
      <c r="B8" s="19" t="s">
        <v>191</v>
      </c>
      <c r="C8" s="19">
        <f>ROUND(365/C6*C7, 2)</f>
        <v>69.12</v>
      </c>
      <c r="D8" s="19">
        <f t="shared" ref="D8:G8" si="0">ROUND(365/D6*D7, 2)</f>
        <v>77.59</v>
      </c>
      <c r="E8" s="19">
        <f t="shared" si="0"/>
        <v>78.489999999999995</v>
      </c>
      <c r="F8" s="19">
        <f t="shared" si="0"/>
        <v>74.69</v>
      </c>
      <c r="G8" s="19">
        <f t="shared" si="0"/>
        <v>82.79</v>
      </c>
    </row>
  </sheetData>
  <mergeCells count="1">
    <mergeCell ref="B5:G5"/>
  </mergeCells>
  <hyperlinks>
    <hyperlink ref="F1" location="Index_Data!A1" tooltip="Hi click here To return Index page" display="Index_Data!A1" xr:uid="{1F38D75F-FC06-4F1D-9C84-EC61E3D509BF}"/>
  </hyperlink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0198B-2040-4F2C-9748-4CEDC246C467}">
  <sheetPr codeName="Sheet32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192</v>
      </c>
      <c r="C5" s="16"/>
      <c r="D5" s="16"/>
      <c r="E5" s="16"/>
      <c r="F5" s="16"/>
      <c r="G5" s="16"/>
    </row>
    <row r="6" spans="2:15" ht="18.75" x14ac:dyDescent="0.25">
      <c r="B6" s="17" t="str">
        <f>Income_Statement!B11</f>
        <v>Cost Of Materials Consumed</v>
      </c>
      <c r="C6" s="18">
        <f>Income_Statement!C11</f>
        <v>28114.9</v>
      </c>
      <c r="D6" s="18">
        <f>Income_Statement!D11</f>
        <v>32418.09</v>
      </c>
      <c r="E6" s="18">
        <f>Income_Statement!E11</f>
        <v>41205.43</v>
      </c>
      <c r="F6" s="18">
        <f>Income_Statement!F11</f>
        <v>54309.07</v>
      </c>
      <c r="G6" s="18">
        <f>Income_Statement!G11</f>
        <v>53244.21</v>
      </c>
    </row>
    <row r="7" spans="2:15" ht="18.75" x14ac:dyDescent="0.25">
      <c r="B7" s="17" t="str">
        <f>Balance_Sheet!B19</f>
        <v>Total Current Liabilities</v>
      </c>
      <c r="C7" s="18">
        <f>Balance_Sheet!C19</f>
        <v>42982.16</v>
      </c>
      <c r="D7" s="18">
        <f>Balance_Sheet!D19</f>
        <v>41531.770000000004</v>
      </c>
      <c r="E7" s="18">
        <f>Balance_Sheet!E19</f>
        <v>48706.84</v>
      </c>
      <c r="F7" s="18">
        <f>Balance_Sheet!F19</f>
        <v>58688.149999999994</v>
      </c>
      <c r="G7" s="18">
        <f>Balance_Sheet!G19</f>
        <v>51705.72</v>
      </c>
    </row>
    <row r="8" spans="2:15" ht="18.75" x14ac:dyDescent="0.25">
      <c r="B8" s="19" t="s">
        <v>193</v>
      </c>
      <c r="C8" s="19">
        <f>ROUND(365/C6*C7, 2)</f>
        <v>558.01</v>
      </c>
      <c r="D8" s="19">
        <f t="shared" ref="D8:G8" si="0">ROUND(365/D6*D7, 2)</f>
        <v>467.61</v>
      </c>
      <c r="E8" s="19">
        <f t="shared" si="0"/>
        <v>431.45</v>
      </c>
      <c r="F8" s="19">
        <f t="shared" si="0"/>
        <v>394.43</v>
      </c>
      <c r="G8" s="19">
        <f t="shared" si="0"/>
        <v>354.45</v>
      </c>
    </row>
  </sheetData>
  <mergeCells count="1">
    <mergeCell ref="B5:G5"/>
  </mergeCells>
  <hyperlinks>
    <hyperlink ref="F1" location="Index_Data!A1" tooltip="Hi click here To return Index page" display="Index_Data!A1" xr:uid="{B93EB80C-8E85-431E-AD5A-57E076E44DF4}"/>
  </hyperlink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5236D-FE36-4301-A1F6-5A292CAB5381}">
  <sheetPr codeName="Sheet33"/>
  <dimension ref="B1:O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194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Balance_Sheet!B37</f>
        <v>Trade Receivables</v>
      </c>
      <c r="C7" s="18">
        <f>Balance_Sheet!C37</f>
        <v>12066.22</v>
      </c>
      <c r="D7" s="18">
        <f>Balance_Sheet!D37</f>
        <v>11586.82</v>
      </c>
      <c r="E7" s="18">
        <f>Balance_Sheet!E37</f>
        <v>12415.52</v>
      </c>
      <c r="F7" s="18">
        <f>Balance_Sheet!F37</f>
        <v>11811</v>
      </c>
      <c r="G7" s="18">
        <f>Balance_Sheet!G37</f>
        <v>7884.91</v>
      </c>
    </row>
    <row r="8" spans="2:15" ht="18.75" x14ac:dyDescent="0.25">
      <c r="B8" s="19" t="s">
        <v>195</v>
      </c>
      <c r="C8" s="19">
        <f>ROUND(365/C6*C7, 2)</f>
        <v>41.67</v>
      </c>
      <c r="D8" s="19">
        <f t="shared" ref="D8:G8" si="0">ROUND(365/D6*D7, 2)</f>
        <v>36.25</v>
      </c>
      <c r="E8" s="19">
        <f t="shared" si="0"/>
        <v>34.4</v>
      </c>
      <c r="F8" s="19">
        <f t="shared" si="0"/>
        <v>27.87</v>
      </c>
      <c r="G8" s="19">
        <f t="shared" si="0"/>
        <v>21.01</v>
      </c>
    </row>
  </sheetData>
  <mergeCells count="1">
    <mergeCell ref="B5:G5"/>
  </mergeCells>
  <hyperlinks>
    <hyperlink ref="F1" location="Index_Data!A1" tooltip="Hi click here To return Index page" display="Index_Data!A1" xr:uid="{36B789BD-F9B2-4B19-B18A-6C7549306F61}"/>
  </hyperlink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97EFA-3114-444B-AFBD-D34CFB28B291}">
  <sheetPr codeName="Sheet34"/>
  <dimension ref="B1:O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196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Balance_Sheet!B36</f>
        <v>Inventories</v>
      </c>
      <c r="C7" s="18">
        <f>Balance_Sheet!C36</f>
        <v>20013.330000000002</v>
      </c>
      <c r="D7" s="18">
        <f>Balance_Sheet!D36</f>
        <v>24803.82</v>
      </c>
      <c r="E7" s="18">
        <f>Balance_Sheet!E36</f>
        <v>28331.040000000001</v>
      </c>
      <c r="F7" s="18">
        <f>Balance_Sheet!F36</f>
        <v>31656.1</v>
      </c>
      <c r="G7" s="18">
        <f>Balance_Sheet!G36</f>
        <v>31068.720000000001</v>
      </c>
    </row>
    <row r="8" spans="2:15" ht="18.75" x14ac:dyDescent="0.25">
      <c r="B8" s="17" t="s">
        <v>191</v>
      </c>
      <c r="C8" s="18">
        <f>ROUND(365/C6*C7, 2)</f>
        <v>69.12</v>
      </c>
      <c r="D8" s="18">
        <f t="shared" ref="D8:G8" si="0">ROUND(365/D6*D7, 2)</f>
        <v>77.59</v>
      </c>
      <c r="E8" s="18">
        <f t="shared" si="0"/>
        <v>78.489999999999995</v>
      </c>
      <c r="F8" s="18">
        <f t="shared" si="0"/>
        <v>74.69</v>
      </c>
      <c r="G8" s="18">
        <f t="shared" si="0"/>
        <v>82.79</v>
      </c>
    </row>
    <row r="9" spans="2:15" ht="18.75" x14ac:dyDescent="0.25">
      <c r="B9" s="17" t="str">
        <f>Income_Statement!B11</f>
        <v>Cost Of Materials Consumed</v>
      </c>
      <c r="C9" s="18">
        <f>Income_Statement!C11</f>
        <v>28114.9</v>
      </c>
      <c r="D9" s="18">
        <f>Income_Statement!D11</f>
        <v>32418.09</v>
      </c>
      <c r="E9" s="18">
        <f>Income_Statement!E11</f>
        <v>41205.43</v>
      </c>
      <c r="F9" s="18">
        <f>Income_Statement!F11</f>
        <v>54309.07</v>
      </c>
      <c r="G9" s="18">
        <f>Income_Statement!G11</f>
        <v>53244.21</v>
      </c>
    </row>
    <row r="10" spans="2:15" ht="18.75" x14ac:dyDescent="0.25">
      <c r="B10" s="17" t="str">
        <f>Balance_Sheet!B19</f>
        <v>Total Current Liabilities</v>
      </c>
      <c r="C10" s="18">
        <f>Balance_Sheet!C19</f>
        <v>42982.16</v>
      </c>
      <c r="D10" s="18">
        <f>Balance_Sheet!D19</f>
        <v>41531.770000000004</v>
      </c>
      <c r="E10" s="18">
        <f>Balance_Sheet!E19</f>
        <v>48706.84</v>
      </c>
      <c r="F10" s="18">
        <f>Balance_Sheet!F19</f>
        <v>58688.149999999994</v>
      </c>
      <c r="G10" s="18">
        <f>Balance_Sheet!G19</f>
        <v>51705.72</v>
      </c>
    </row>
    <row r="11" spans="2:15" ht="18.75" x14ac:dyDescent="0.25">
      <c r="B11" s="17" t="s">
        <v>193</v>
      </c>
      <c r="C11" s="18">
        <f>ROUND(365/C9*C10, 2)</f>
        <v>558.01</v>
      </c>
      <c r="D11" s="18">
        <f t="shared" ref="D11:G11" si="1">ROUND(365/D9*D10, 2)</f>
        <v>467.61</v>
      </c>
      <c r="E11" s="18">
        <f t="shared" si="1"/>
        <v>431.45</v>
      </c>
      <c r="F11" s="18">
        <f t="shared" si="1"/>
        <v>394.43</v>
      </c>
      <c r="G11" s="18">
        <f t="shared" si="1"/>
        <v>354.45</v>
      </c>
    </row>
    <row r="12" spans="2:15" ht="18.75" x14ac:dyDescent="0.25">
      <c r="B12" s="19" t="s">
        <v>197</v>
      </c>
      <c r="C12" s="30">
        <f>ROUND(C11+C8, 2)</f>
        <v>627.13</v>
      </c>
      <c r="D12" s="30">
        <f t="shared" ref="D12:G12" si="2">ROUND(D11+D8, 2)</f>
        <v>545.20000000000005</v>
      </c>
      <c r="E12" s="30">
        <f t="shared" si="2"/>
        <v>509.94</v>
      </c>
      <c r="F12" s="30">
        <f t="shared" si="2"/>
        <v>469.12</v>
      </c>
      <c r="G12" s="30">
        <f t="shared" si="2"/>
        <v>437.24</v>
      </c>
    </row>
  </sheetData>
  <mergeCells count="1">
    <mergeCell ref="B5:G5"/>
  </mergeCells>
  <hyperlinks>
    <hyperlink ref="F1" location="Index_Data!A1" tooltip="Hi click here To return Index page" display="Index_Data!A1" xr:uid="{46B88D16-B649-4839-B043-395D91BBA35C}"/>
  </hyperlink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C2DA7-4044-47E3-B3C6-09502A108BD1}">
  <sheetPr codeName="Sheet35"/>
  <dimension ref="B1:O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198</v>
      </c>
      <c r="C5" s="16"/>
      <c r="D5" s="16"/>
      <c r="E5" s="16"/>
      <c r="F5" s="16"/>
      <c r="G5" s="16"/>
    </row>
    <row r="6" spans="2:15" ht="18.75" x14ac:dyDescent="0.25">
      <c r="B6" s="17" t="str">
        <f>Income_Statement!B5</f>
        <v>Gross Sales</v>
      </c>
      <c r="C6" s="18">
        <f>Income_Statement!C5</f>
        <v>105683.18</v>
      </c>
      <c r="D6" s="18">
        <f>Income_Statement!D5</f>
        <v>116682.57</v>
      </c>
      <c r="E6" s="18">
        <f>Income_Statement!E5</f>
        <v>131741.49</v>
      </c>
      <c r="F6" s="18">
        <f>Income_Statement!F5</f>
        <v>154691.84</v>
      </c>
      <c r="G6" s="18">
        <f>Income_Statement!G5</f>
        <v>136976.76</v>
      </c>
    </row>
    <row r="7" spans="2:15" ht="18.75" x14ac:dyDescent="0.25">
      <c r="B7" s="17" t="str">
        <f>Balance_Sheet!B36</f>
        <v>Inventories</v>
      </c>
      <c r="C7" s="18">
        <f>Balance_Sheet!C36</f>
        <v>20013.330000000002</v>
      </c>
      <c r="D7" s="18">
        <f>Balance_Sheet!D36</f>
        <v>24803.82</v>
      </c>
      <c r="E7" s="18">
        <f>Balance_Sheet!E36</f>
        <v>28331.040000000001</v>
      </c>
      <c r="F7" s="18">
        <f>Balance_Sheet!F36</f>
        <v>31656.1</v>
      </c>
      <c r="G7" s="18">
        <f>Balance_Sheet!G36</f>
        <v>31068.720000000001</v>
      </c>
    </row>
    <row r="8" spans="2:15" ht="18.75" x14ac:dyDescent="0.25">
      <c r="B8" s="17" t="s">
        <v>191</v>
      </c>
      <c r="C8" s="18">
        <f>ROUND(365/C6*C7, 2)</f>
        <v>69.12</v>
      </c>
      <c r="D8" s="18">
        <f t="shared" ref="D8:G8" si="0">ROUND(365/D6*D7, 2)</f>
        <v>77.59</v>
      </c>
      <c r="E8" s="18">
        <f t="shared" si="0"/>
        <v>78.489999999999995</v>
      </c>
      <c r="F8" s="18">
        <f t="shared" si="0"/>
        <v>74.69</v>
      </c>
      <c r="G8" s="18">
        <f t="shared" si="0"/>
        <v>82.79</v>
      </c>
    </row>
    <row r="9" spans="2:15" ht="18.75" x14ac:dyDescent="0.25">
      <c r="B9" s="17" t="str">
        <f>Income_Statement!B11</f>
        <v>Cost Of Materials Consumed</v>
      </c>
      <c r="C9" s="18">
        <f>Income_Statement!C11</f>
        <v>28114.9</v>
      </c>
      <c r="D9" s="18">
        <f>Income_Statement!D11</f>
        <v>32418.09</v>
      </c>
      <c r="E9" s="18">
        <f>Income_Statement!E11</f>
        <v>41205.43</v>
      </c>
      <c r="F9" s="18">
        <f>Income_Statement!F11</f>
        <v>54309.07</v>
      </c>
      <c r="G9" s="18">
        <f>Income_Statement!G11</f>
        <v>53244.21</v>
      </c>
    </row>
    <row r="10" spans="2:15" ht="18.75" x14ac:dyDescent="0.25">
      <c r="B10" s="17" t="str">
        <f>Balance_Sheet!B19</f>
        <v>Total Current Liabilities</v>
      </c>
      <c r="C10" s="18">
        <f>Balance_Sheet!C19</f>
        <v>42982.16</v>
      </c>
      <c r="D10" s="18">
        <f>Balance_Sheet!D19</f>
        <v>41531.770000000004</v>
      </c>
      <c r="E10" s="18">
        <f>Balance_Sheet!E19</f>
        <v>48706.84</v>
      </c>
      <c r="F10" s="18">
        <f>Balance_Sheet!F19</f>
        <v>58688.149999999994</v>
      </c>
      <c r="G10" s="18">
        <f>Balance_Sheet!G19</f>
        <v>51705.72</v>
      </c>
    </row>
    <row r="11" spans="2:15" ht="18.75" x14ac:dyDescent="0.25">
      <c r="B11" s="17" t="s">
        <v>193</v>
      </c>
      <c r="C11" s="18">
        <f>ROUND(365/C9*C10, 2)</f>
        <v>558.01</v>
      </c>
      <c r="D11" s="18">
        <f t="shared" ref="D11:G11" si="1">ROUND(365/D9*D10, 2)</f>
        <v>467.61</v>
      </c>
      <c r="E11" s="18">
        <f t="shared" si="1"/>
        <v>431.45</v>
      </c>
      <c r="F11" s="18">
        <f t="shared" si="1"/>
        <v>394.43</v>
      </c>
      <c r="G11" s="18">
        <f t="shared" si="1"/>
        <v>354.45</v>
      </c>
    </row>
    <row r="12" spans="2:15" ht="18.75" x14ac:dyDescent="0.25">
      <c r="B12" s="17" t="s">
        <v>199</v>
      </c>
      <c r="C12" s="18">
        <f>ROUND(C11+C8, 2)</f>
        <v>627.13</v>
      </c>
      <c r="D12" s="18">
        <f t="shared" ref="D12:G12" si="2">ROUND(D11+D8, 2)</f>
        <v>545.20000000000005</v>
      </c>
      <c r="E12" s="18">
        <f t="shared" si="2"/>
        <v>509.94</v>
      </c>
      <c r="F12" s="18">
        <f t="shared" si="2"/>
        <v>469.12</v>
      </c>
      <c r="G12" s="18">
        <f t="shared" si="2"/>
        <v>437.24</v>
      </c>
    </row>
    <row r="13" spans="2:15" ht="18.75" x14ac:dyDescent="0.25">
      <c r="B13" s="17" t="str">
        <f>Income_Statement!B11</f>
        <v>Cost Of Materials Consumed</v>
      </c>
      <c r="C13" s="18">
        <f>Income_Statement!C11</f>
        <v>28114.9</v>
      </c>
      <c r="D13" s="18">
        <f>Income_Statement!D11</f>
        <v>32418.09</v>
      </c>
      <c r="E13" s="18">
        <f>Income_Statement!E11</f>
        <v>41205.43</v>
      </c>
      <c r="F13" s="18">
        <f>Income_Statement!F11</f>
        <v>54309.07</v>
      </c>
      <c r="G13" s="18">
        <f>Income_Statement!G11</f>
        <v>53244.21</v>
      </c>
    </row>
    <row r="14" spans="2:15" ht="18.75" x14ac:dyDescent="0.25">
      <c r="B14" s="17" t="str">
        <f>Balance_Sheet!B19</f>
        <v>Total Current Liabilities</v>
      </c>
      <c r="C14" s="18">
        <f>Balance_Sheet!C19</f>
        <v>42982.16</v>
      </c>
      <c r="D14" s="18">
        <f>Balance_Sheet!D19</f>
        <v>41531.770000000004</v>
      </c>
      <c r="E14" s="18">
        <f>Balance_Sheet!E19</f>
        <v>48706.84</v>
      </c>
      <c r="F14" s="18">
        <f>Balance_Sheet!F19</f>
        <v>58688.149999999994</v>
      </c>
      <c r="G14" s="18">
        <f>Balance_Sheet!G19</f>
        <v>51705.72</v>
      </c>
    </row>
    <row r="15" spans="2:15" ht="18.75" x14ac:dyDescent="0.25">
      <c r="B15" s="17" t="s">
        <v>193</v>
      </c>
      <c r="C15" s="18">
        <f>ROUND(365/C13*C14, 2)</f>
        <v>558.01</v>
      </c>
      <c r="D15" s="18">
        <f t="shared" ref="D15:G15" si="3">ROUND(365/D13*D14, 2)</f>
        <v>467.61</v>
      </c>
      <c r="E15" s="18">
        <f t="shared" si="3"/>
        <v>431.45</v>
      </c>
      <c r="F15" s="18">
        <f t="shared" si="3"/>
        <v>394.43</v>
      </c>
      <c r="G15" s="18">
        <f t="shared" si="3"/>
        <v>354.45</v>
      </c>
    </row>
    <row r="16" spans="2:15" ht="18.75" x14ac:dyDescent="0.25">
      <c r="B16" s="19" t="s">
        <v>200</v>
      </c>
      <c r="C16" s="30">
        <f>ROUND(C15-C12, 2)</f>
        <v>-69.12</v>
      </c>
      <c r="D16" s="30">
        <f t="shared" ref="D16:G16" si="4">ROUND(D15-D12, 2)</f>
        <v>-77.59</v>
      </c>
      <c r="E16" s="30">
        <f t="shared" si="4"/>
        <v>-78.489999999999995</v>
      </c>
      <c r="F16" s="30">
        <f t="shared" si="4"/>
        <v>-74.69</v>
      </c>
      <c r="G16" s="30">
        <f t="shared" si="4"/>
        <v>-82.79</v>
      </c>
    </row>
  </sheetData>
  <mergeCells count="1">
    <mergeCell ref="B5:G5"/>
  </mergeCells>
  <hyperlinks>
    <hyperlink ref="F1" location="Index_Data!A1" tooltip="Hi click here To return Index page" display="Index_Data!A1" xr:uid="{D86ECA4D-66FC-4F37-B066-87A65AFB9C22}"/>
  </hyperlinks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75EABF-05AB-44D4-8C4A-9DE4D98E3A86}">
  <sheetPr codeName="Sheet36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Balance_Sheet!B9</f>
        <v>Net Worth</v>
      </c>
      <c r="C5" s="18">
        <f>Balance_Sheet!C9</f>
        <v>41457.549999999996</v>
      </c>
      <c r="D5" s="18">
        <f>Balance_Sheet!D9</f>
        <v>45431.53</v>
      </c>
      <c r="E5" s="18">
        <f>Balance_Sheet!E9</f>
        <v>70488.25</v>
      </c>
      <c r="F5" s="18">
        <f>Balance_Sheet!F9</f>
        <v>79911.299999999988</v>
      </c>
      <c r="G5" s="18">
        <f>Balance_Sheet!G9</f>
        <v>79347.149999999965</v>
      </c>
    </row>
    <row r="6" spans="2:15" ht="18.75" x14ac:dyDescent="0.25">
      <c r="B6" s="17" t="str">
        <f>Balance_Sheet!B21</f>
        <v>Total Liabilities</v>
      </c>
      <c r="C6" s="18">
        <f>Balance_Sheet!C21</f>
        <v>175236.44</v>
      </c>
      <c r="D6" s="18">
        <f>Balance_Sheet!D21</f>
        <v>180945.45</v>
      </c>
      <c r="E6" s="18">
        <f>Balance_Sheet!E21</f>
        <v>219375.57</v>
      </c>
      <c r="F6" s="18">
        <f>Balance_Sheet!F21</f>
        <v>244568.61</v>
      </c>
      <c r="G6" s="18">
        <f>Balance_Sheet!G21</f>
        <v>256190.3</v>
      </c>
    </row>
  </sheetData>
  <hyperlinks>
    <hyperlink ref="F1" location="Index_Data!A1" tooltip="Hi click here To return Index page" display="Index_Data!A1" xr:uid="{0740EDDF-166B-4324-9A8B-1A7AE79E598F}"/>
  </hyperlinks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2F315-6C22-43DD-BBD0-E9A6977A0FEA}">
  <sheetPr codeName="Sheet37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Income_Statement!B17</f>
        <v>PBDIT</v>
      </c>
      <c r="C5" s="18">
        <f>Income_Statement!C17</f>
        <v>19137.399999999994</v>
      </c>
      <c r="D5" s="18">
        <f>Income_Statement!D17</f>
        <v>22920.020000000004</v>
      </c>
      <c r="E5" s="18">
        <f>Income_Statement!E17</f>
        <v>31483.380000000005</v>
      </c>
      <c r="F5" s="18">
        <f>Income_Statement!F17</f>
        <v>32633.75999999998</v>
      </c>
      <c r="G5" s="18">
        <f>Income_Statement!G17</f>
        <v>18379.199999999983</v>
      </c>
    </row>
    <row r="6" spans="2:15" ht="18.75" x14ac:dyDescent="0.25">
      <c r="B6" s="17" t="str">
        <f>Income_Statement!B19</f>
        <v>PBIT</v>
      </c>
      <c r="C6" s="18">
        <f>Income_Statement!C19</f>
        <v>13831.049999999994</v>
      </c>
      <c r="D6" s="18">
        <f>Income_Statement!D19</f>
        <v>17247.140000000003</v>
      </c>
      <c r="E6" s="18">
        <f>Income_Statement!E19</f>
        <v>25521.720000000005</v>
      </c>
      <c r="F6" s="18">
        <f>Income_Statement!F19</f>
        <v>25291.929999999978</v>
      </c>
      <c r="G6" s="18">
        <f>Income_Statement!G19</f>
        <v>9938.469999999983</v>
      </c>
    </row>
  </sheetData>
  <hyperlinks>
    <hyperlink ref="F1" location="Index_Data!A1" tooltip="Hi click here To return Index page" display="Index_Data!A1" xr:uid="{14398D35-43EA-482A-A78D-DDB896626308}"/>
  </hyperlinks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93322-1DC0-4C55-822F-4430FE1517EA}">
  <sheetPr codeName="Sheet38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Balance_Sheet!B39</f>
        <v>Total Current Assets</v>
      </c>
      <c r="C5" s="18">
        <f>Balance_Sheet!C39</f>
        <v>58601.880000000005</v>
      </c>
      <c r="D5" s="18">
        <f>Balance_Sheet!D39</f>
        <v>70135.02</v>
      </c>
      <c r="E5" s="18">
        <f>Balance_Sheet!E39</f>
        <v>104945.40000000002</v>
      </c>
      <c r="F5" s="18">
        <f>Balance_Sheet!F39</f>
        <v>119405.01</v>
      </c>
      <c r="G5" s="18">
        <f>Balance_Sheet!G39</f>
        <v>127964.02999999997</v>
      </c>
    </row>
    <row r="6" spans="2:15" ht="18.75" x14ac:dyDescent="0.25">
      <c r="B6" s="17" t="str">
        <f>Balance_Sheet!B19</f>
        <v>Total Current Liabilities</v>
      </c>
      <c r="C6" s="18">
        <f>Balance_Sheet!C19</f>
        <v>42982.16</v>
      </c>
      <c r="D6" s="18">
        <f>Balance_Sheet!D19</f>
        <v>41531.770000000004</v>
      </c>
      <c r="E6" s="18">
        <f>Balance_Sheet!E19</f>
        <v>48706.84</v>
      </c>
      <c r="F6" s="18">
        <f>Balance_Sheet!F19</f>
        <v>58688.149999999994</v>
      </c>
      <c r="G6" s="18">
        <f>Balance_Sheet!G19</f>
        <v>51705.72</v>
      </c>
    </row>
  </sheetData>
  <hyperlinks>
    <hyperlink ref="F1" location="Index_Data!A1" tooltip="Hi click here To return Index page" display="Index_Data!A1" xr:uid="{58CE2E3D-9F3D-407E-A397-8E69260A2EE6}"/>
  </hyperlinks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6E41F-ACF7-49F2-BCF2-61BD3544C6FD}">
  <sheetPr codeName="Sheet39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Balance_Sheet!B14</f>
        <v>Long Term Provisions</v>
      </c>
      <c r="C5" s="18">
        <f>Balance_Sheet!C14</f>
        <v>4440.4799999999996</v>
      </c>
      <c r="D5" s="18">
        <f>Balance_Sheet!D14</f>
        <v>4279.6899999999996</v>
      </c>
      <c r="E5" s="18">
        <f>Balance_Sheet!E14</f>
        <v>4338.24</v>
      </c>
      <c r="F5" s="18">
        <f>Balance_Sheet!F14</f>
        <v>4046.21</v>
      </c>
      <c r="G5" s="18">
        <f>Balance_Sheet!G14</f>
        <v>4235.07</v>
      </c>
    </row>
    <row r="6" spans="2:15" ht="18.75" x14ac:dyDescent="0.25">
      <c r="B6" s="17" t="str">
        <f>Balance_Sheet!B15</f>
        <v>Short Term Provisions</v>
      </c>
      <c r="C6" s="18">
        <f>Balance_Sheet!C15</f>
        <v>1521.86</v>
      </c>
      <c r="D6" s="18">
        <f>Balance_Sheet!D15</f>
        <v>987.38</v>
      </c>
      <c r="E6" s="18">
        <f>Balance_Sheet!E15</f>
        <v>1269.6400000000001</v>
      </c>
      <c r="F6" s="18">
        <f>Balance_Sheet!F15</f>
        <v>1248.72</v>
      </c>
      <c r="G6" s="18">
        <f>Balance_Sheet!G15</f>
        <v>1663.67</v>
      </c>
    </row>
  </sheetData>
  <hyperlinks>
    <hyperlink ref="F1" location="Index_Data!A1" tooltip="Hi click here To return Index page" display="Index_Data!A1" xr:uid="{BCD5FD75-83DF-4EE2-9842-A7991B2C85A8}"/>
  </hyperlinks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83251-361E-4CC8-8067-B52C069CA7E3}">
  <sheetPr codeName="Sheet40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Income_Statement!B11</f>
        <v>Cost Of Materials Consumed</v>
      </c>
      <c r="C5" s="18">
        <f>Income_Statement!C11</f>
        <v>28114.9</v>
      </c>
      <c r="D5" s="18">
        <f>Income_Statement!D11</f>
        <v>32418.09</v>
      </c>
      <c r="E5" s="18">
        <f>Income_Statement!E11</f>
        <v>41205.43</v>
      </c>
      <c r="F5" s="18">
        <f>Income_Statement!F11</f>
        <v>54309.07</v>
      </c>
      <c r="G5" s="18">
        <f>Income_Statement!G11</f>
        <v>53244.21</v>
      </c>
    </row>
    <row r="6" spans="2:15" ht="18.75" x14ac:dyDescent="0.25">
      <c r="B6" s="17" t="str">
        <f>Income_Statement!B12</f>
        <v>Operating And Direct Expenses</v>
      </c>
      <c r="C6" s="18">
        <f>Income_Statement!C12</f>
        <v>0</v>
      </c>
      <c r="D6" s="18">
        <f>Income_Statement!D12</f>
        <v>0</v>
      </c>
      <c r="E6" s="18">
        <f>Income_Statement!E12</f>
        <v>0</v>
      </c>
      <c r="F6" s="18">
        <f>Income_Statement!F12</f>
        <v>0</v>
      </c>
      <c r="G6" s="18">
        <f>Income_Statement!G12</f>
        <v>0</v>
      </c>
    </row>
  </sheetData>
  <hyperlinks>
    <hyperlink ref="F1" location="Index_Data!A1" tooltip="Hi click here To return Index page" display="Index_Data!A1" xr:uid="{3755D6BC-344D-4E4E-9E46-B9E384A80E99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F42C-5648-4682-8B54-DE51B874E4B1}">
  <sheetPr codeName="Sheet5"/>
  <dimension ref="B1:O48"/>
  <sheetViews>
    <sheetView showGridLines="0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5.42578125" bestFit="1" customWidth="1"/>
    <col min="6" max="6" width="16.5703125" bestFit="1" customWidth="1"/>
    <col min="7" max="7" width="15.425781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7" t="s">
        <v>81</v>
      </c>
      <c r="C3" s="8"/>
      <c r="D3" s="8"/>
      <c r="E3" s="8"/>
      <c r="F3" s="8"/>
      <c r="G3" s="8"/>
    </row>
    <row r="4" spans="2:15" ht="18.75" x14ac:dyDescent="0.25">
      <c r="B4" s="9" t="s">
        <v>57</v>
      </c>
      <c r="C4" s="9">
        <v>2015</v>
      </c>
      <c r="D4" s="9">
        <v>2016</v>
      </c>
      <c r="E4" s="9">
        <v>2017</v>
      </c>
      <c r="F4" s="9">
        <v>2018</v>
      </c>
      <c r="G4" s="9">
        <v>2019</v>
      </c>
    </row>
    <row r="5" spans="2:15" ht="18.75" x14ac:dyDescent="0.25">
      <c r="B5" s="5" t="s">
        <v>67</v>
      </c>
      <c r="C5" s="1"/>
      <c r="D5" s="2">
        <f>Income_Statement!D25</f>
        <v>7850.7100000000028</v>
      </c>
      <c r="E5" s="2">
        <f>Income_Statement!E25</f>
        <v>29619.050000000003</v>
      </c>
      <c r="F5" s="2">
        <f>Income_Statement!F25</f>
        <v>17510.859999999979</v>
      </c>
      <c r="G5" s="2">
        <f>Income_Statement!G25</f>
        <v>-1347.0400000000172</v>
      </c>
    </row>
    <row r="6" spans="2:15" ht="18.75" x14ac:dyDescent="0.25">
      <c r="B6" s="5" t="s">
        <v>68</v>
      </c>
      <c r="C6" s="1"/>
      <c r="D6" s="1"/>
      <c r="E6" s="1"/>
      <c r="F6" s="1"/>
      <c r="G6" s="1"/>
    </row>
    <row r="7" spans="2:15" ht="18.75" x14ac:dyDescent="0.25">
      <c r="B7" s="5" t="s">
        <v>63</v>
      </c>
      <c r="C7" s="1"/>
      <c r="D7" s="2">
        <f>Income_Statement!D18</f>
        <v>5672.88</v>
      </c>
      <c r="E7" s="2">
        <f>Income_Statement!E18</f>
        <v>5961.66</v>
      </c>
      <c r="F7" s="2">
        <f>Income_Statement!F18</f>
        <v>7341.83</v>
      </c>
      <c r="G7" s="2">
        <f>Income_Statement!G18</f>
        <v>8440.73</v>
      </c>
    </row>
    <row r="8" spans="2:15" ht="18.75" x14ac:dyDescent="0.25">
      <c r="B8" s="5" t="s">
        <v>69</v>
      </c>
      <c r="C8" s="1"/>
      <c r="D8" s="2">
        <f>Income_Statement!D20</f>
        <v>5072.2</v>
      </c>
      <c r="E8" s="2">
        <f>Income_Statement!E20</f>
        <v>5501.79</v>
      </c>
      <c r="F8" s="2">
        <f>Income_Statement!F20</f>
        <v>7660.1</v>
      </c>
      <c r="G8" s="2">
        <f>Income_Statement!G20</f>
        <v>7533.46</v>
      </c>
    </row>
    <row r="9" spans="2:15" ht="18.75" x14ac:dyDescent="0.25">
      <c r="B9" s="5" t="s">
        <v>28</v>
      </c>
      <c r="C9" s="1"/>
      <c r="D9" s="2">
        <f>Income_Statement!D8</f>
        <v>527.47</v>
      </c>
      <c r="E9" s="2">
        <f>Income_Statement!E8</f>
        <v>909.45</v>
      </c>
      <c r="F9" s="2">
        <f>Income_Statement!F8</f>
        <v>1420.58</v>
      </c>
      <c r="G9" s="2">
        <f>Income_Statement!G8</f>
        <v>1843.49</v>
      </c>
    </row>
    <row r="10" spans="2:15" ht="18.75" x14ac:dyDescent="0.25">
      <c r="B10" s="6" t="s">
        <v>70</v>
      </c>
      <c r="C10" s="3"/>
      <c r="D10" s="4">
        <f>D7+D8-D9</f>
        <v>10217.61</v>
      </c>
      <c r="E10" s="4">
        <f t="shared" ref="E10:G10" si="0">E7+E8-E9</f>
        <v>10554</v>
      </c>
      <c r="F10" s="4">
        <f t="shared" si="0"/>
        <v>13581.35</v>
      </c>
      <c r="G10" s="4">
        <f t="shared" si="0"/>
        <v>14130.699999999999</v>
      </c>
    </row>
    <row r="11" spans="2:15" ht="18.75" x14ac:dyDescent="0.25">
      <c r="B11" s="5" t="s">
        <v>71</v>
      </c>
      <c r="C11" s="1"/>
      <c r="D11" s="1"/>
      <c r="E11" s="1"/>
      <c r="F11" s="1"/>
      <c r="G11" s="1"/>
    </row>
    <row r="12" spans="2:15" ht="18.75" x14ac:dyDescent="0.25">
      <c r="B12" s="5" t="str">
        <f>Balance_Sheet!B31</f>
        <v>Deferred Tax Assets [Net]</v>
      </c>
      <c r="C12" s="1"/>
      <c r="D12" s="2">
        <f>Balance_Sheet!C31-Balance_Sheet!D31</f>
        <v>-258.41999999999996</v>
      </c>
      <c r="E12" s="2">
        <f>Balance_Sheet!D31-Balance_Sheet!E31</f>
        <v>-149.92999999999995</v>
      </c>
      <c r="F12" s="2">
        <f>Balance_Sheet!E31-Balance_Sheet!F31</f>
        <v>226.84999999999991</v>
      </c>
      <c r="G12" s="2">
        <f>Balance_Sheet!F31-Balance_Sheet!G31</f>
        <v>-461.37999999999988</v>
      </c>
    </row>
    <row r="13" spans="2:15" ht="18.75" x14ac:dyDescent="0.25">
      <c r="B13" s="5" t="str">
        <f>Balance_Sheet!B32</f>
        <v>Long Term Loans And Advances</v>
      </c>
      <c r="C13" s="1"/>
      <c r="D13" s="1">
        <f>Balance_Sheet!C32-Balance_Sheet!D32</f>
        <v>39.170000000000016</v>
      </c>
      <c r="E13" s="1">
        <f>Balance_Sheet!D32-Balance_Sheet!E32</f>
        <v>-344.28000000000003</v>
      </c>
      <c r="F13" s="1">
        <f>Balance_Sheet!E32-Balance_Sheet!F32</f>
        <v>104</v>
      </c>
      <c r="G13" s="1">
        <f>Balance_Sheet!F32-Balance_Sheet!G32</f>
        <v>124.63000000000005</v>
      </c>
    </row>
    <row r="14" spans="2:15" ht="18.75" x14ac:dyDescent="0.25">
      <c r="B14" s="5" t="str">
        <f>Balance_Sheet!B33</f>
        <v>Other Non-Current Assets</v>
      </c>
      <c r="C14" s="1"/>
      <c r="D14" s="2">
        <f>Balance_Sheet!C33-Balance_Sheet!D33</f>
        <v>9869.18</v>
      </c>
      <c r="E14" s="2">
        <f>Balance_Sheet!D33-Balance_Sheet!E33</f>
        <v>-17853.23</v>
      </c>
      <c r="F14" s="2">
        <f>Balance_Sheet!E33-Balance_Sheet!F33</f>
        <v>-2454.8499999999985</v>
      </c>
      <c r="G14" s="2">
        <f>Balance_Sheet!F33-Balance_Sheet!G33</f>
        <v>-6154.2000000000007</v>
      </c>
    </row>
    <row r="15" spans="2:15" ht="18.75" x14ac:dyDescent="0.25">
      <c r="B15" s="5" t="str">
        <f>Balance_Sheet!B34</f>
        <v>Short Term Loans And Advances</v>
      </c>
      <c r="C15" s="1"/>
      <c r="D15" s="1">
        <f>Balance_Sheet!C34-Balance_Sheet!D34</f>
        <v>-17.080000000000013</v>
      </c>
      <c r="E15" s="1">
        <f>Balance_Sheet!D34-Balance_Sheet!E34</f>
        <v>-31.980000000000018</v>
      </c>
      <c r="F15" s="1">
        <f>Balance_Sheet!E34-Balance_Sheet!F34</f>
        <v>16.78000000000003</v>
      </c>
      <c r="G15" s="1">
        <f>Balance_Sheet!F34-Balance_Sheet!G34</f>
        <v>24.019999999999982</v>
      </c>
    </row>
    <row r="16" spans="2:15" ht="18.75" x14ac:dyDescent="0.25">
      <c r="B16" s="5" t="str">
        <f>Balance_Sheet!B35</f>
        <v>OtherCurrentAssets</v>
      </c>
      <c r="C16" s="1"/>
      <c r="D16" s="2">
        <f>Balance_Sheet!C35-Balance_Sheet!D35</f>
        <v>-1070.6100000000001</v>
      </c>
      <c r="E16" s="2">
        <f>Balance_Sheet!D35-Balance_Sheet!E35</f>
        <v>-301.59000000000015</v>
      </c>
      <c r="F16" s="2">
        <f>Balance_Sheet!E35-Balance_Sheet!F35</f>
        <v>-5390.6500000000005</v>
      </c>
      <c r="G16" s="2">
        <f>Balance_Sheet!F35-Balance_Sheet!G35</f>
        <v>1341.130000000001</v>
      </c>
    </row>
    <row r="17" spans="2:7" ht="18.75" x14ac:dyDescent="0.25">
      <c r="B17" s="5" t="str">
        <f>Balance_Sheet!B36</f>
        <v>Inventories</v>
      </c>
      <c r="C17" s="1"/>
      <c r="D17" s="2">
        <f>Balance_Sheet!C36-Balance_Sheet!D36</f>
        <v>-4790.489999999998</v>
      </c>
      <c r="E17" s="2">
        <f>Balance_Sheet!D36-Balance_Sheet!E36</f>
        <v>-3527.2200000000012</v>
      </c>
      <c r="F17" s="2">
        <f>Balance_Sheet!E36-Balance_Sheet!F36</f>
        <v>-3325.0599999999977</v>
      </c>
      <c r="G17" s="2">
        <f>Balance_Sheet!F36-Balance_Sheet!G36</f>
        <v>587.37999999999738</v>
      </c>
    </row>
    <row r="18" spans="2:7" ht="18.75" x14ac:dyDescent="0.25">
      <c r="B18" s="5" t="str">
        <f>Balance_Sheet!B37</f>
        <v>Trade Receivables</v>
      </c>
      <c r="C18" s="1"/>
      <c r="D18" s="2">
        <f>Balance_Sheet!C37-Balance_Sheet!D37</f>
        <v>479.39999999999964</v>
      </c>
      <c r="E18" s="2">
        <f>Balance_Sheet!D37-Balance_Sheet!E37</f>
        <v>-828.70000000000073</v>
      </c>
      <c r="F18" s="2">
        <f>Balance_Sheet!E37-Balance_Sheet!F37</f>
        <v>604.52000000000044</v>
      </c>
      <c r="G18" s="2">
        <f>Balance_Sheet!F37-Balance_Sheet!G37</f>
        <v>3926.09</v>
      </c>
    </row>
    <row r="19" spans="2:7" ht="18.75" x14ac:dyDescent="0.25">
      <c r="B19" s="5" t="s">
        <v>72</v>
      </c>
      <c r="C19" s="1"/>
      <c r="D19" s="1"/>
      <c r="E19" s="1"/>
      <c r="F19" s="1"/>
      <c r="G19" s="1"/>
    </row>
    <row r="20" spans="2:7" ht="18.75" x14ac:dyDescent="0.25">
      <c r="B20" s="5" t="str">
        <f>Balance_Sheet!B14</f>
        <v>Long Term Provisions</v>
      </c>
      <c r="C20" s="1"/>
      <c r="D20" s="2">
        <f>Balance_Sheet!D14-Balance_Sheet!C14</f>
        <v>-160.78999999999996</v>
      </c>
      <c r="E20" s="2">
        <f>Balance_Sheet!E14-Balance_Sheet!D14</f>
        <v>58.550000000000182</v>
      </c>
      <c r="F20" s="2">
        <f>Balance_Sheet!F14-Balance_Sheet!E14</f>
        <v>-292.02999999999975</v>
      </c>
      <c r="G20" s="2">
        <f>Balance_Sheet!G14-Balance_Sheet!F14</f>
        <v>188.85999999999967</v>
      </c>
    </row>
    <row r="21" spans="2:7" ht="18.75" x14ac:dyDescent="0.25">
      <c r="B21" s="5" t="str">
        <f>Balance_Sheet!B15</f>
        <v>Short Term Provisions</v>
      </c>
      <c r="C21" s="1"/>
      <c r="D21" s="2">
        <f>Balance_Sheet!D15-Balance_Sheet!C15</f>
        <v>-534.4799999999999</v>
      </c>
      <c r="E21" s="2">
        <f>Balance_Sheet!E15-Balance_Sheet!D15</f>
        <v>282.2600000000001</v>
      </c>
      <c r="F21" s="2">
        <f>Balance_Sheet!F15-Balance_Sheet!E15</f>
        <v>-20.920000000000073</v>
      </c>
      <c r="G21" s="2">
        <f>Balance_Sheet!G15-Balance_Sheet!F15</f>
        <v>414.95000000000005</v>
      </c>
    </row>
    <row r="22" spans="2:7" ht="18.75" x14ac:dyDescent="0.25">
      <c r="B22" s="5" t="str">
        <f>Balance_Sheet!B16</f>
        <v>Other Long Term Liabilities</v>
      </c>
      <c r="C22" s="1"/>
      <c r="D22" s="2">
        <f>Balance_Sheet!D16-Balance_Sheet!C16</f>
        <v>-1070.6999999999998</v>
      </c>
      <c r="E22" s="2">
        <f>Balance_Sheet!E16-Balance_Sheet!D16</f>
        <v>-646.96</v>
      </c>
      <c r="F22" s="2">
        <f>Balance_Sheet!F16-Balance_Sheet!E16</f>
        <v>-182.27999999999975</v>
      </c>
      <c r="G22" s="2">
        <f>Balance_Sheet!G16-Balance_Sheet!F16</f>
        <v>584.32999999999993</v>
      </c>
    </row>
    <row r="23" spans="2:7" ht="18.75" x14ac:dyDescent="0.25">
      <c r="B23" s="5" t="str">
        <f>Balance_Sheet!B17</f>
        <v>Trade Payables</v>
      </c>
      <c r="C23" s="1"/>
      <c r="D23" s="2">
        <f>Balance_Sheet!D17-Balance_Sheet!C17</f>
        <v>17.759999999998399</v>
      </c>
      <c r="E23" s="2">
        <f>Balance_Sheet!E17-Balance_Sheet!D17</f>
        <v>1839.3500000000022</v>
      </c>
      <c r="F23" s="2">
        <f>Balance_Sheet!F17-Balance_Sheet!E17</f>
        <v>1303.1499999999978</v>
      </c>
      <c r="G23" s="2">
        <f>Balance_Sheet!G17-Balance_Sheet!F17</f>
        <v>-336.11000000000058</v>
      </c>
    </row>
    <row r="24" spans="2:7" ht="18.75" x14ac:dyDescent="0.25">
      <c r="B24" s="5" t="str">
        <f>Balance_Sheet!B18</f>
        <v>Other Current Liabilities</v>
      </c>
      <c r="C24" s="1"/>
      <c r="D24" s="2">
        <f>Balance_Sheet!D18-Balance_Sheet!C18</f>
        <v>297.81999999999971</v>
      </c>
      <c r="E24" s="2">
        <f>Balance_Sheet!E18-Balance_Sheet!D18</f>
        <v>5641.869999999999</v>
      </c>
      <c r="F24" s="2">
        <f>Balance_Sheet!F18-Balance_Sheet!E18</f>
        <v>9173.39</v>
      </c>
      <c r="G24" s="2">
        <f>Balance_Sheet!G18-Balance_Sheet!F18</f>
        <v>-7834.4599999999991</v>
      </c>
    </row>
    <row r="25" spans="2:7" ht="18.75" x14ac:dyDescent="0.25">
      <c r="B25" s="5" t="s">
        <v>42</v>
      </c>
      <c r="C25" s="1"/>
      <c r="D25" s="1"/>
      <c r="E25" s="1"/>
      <c r="F25" s="1"/>
      <c r="G25" s="1"/>
    </row>
    <row r="26" spans="2:7" ht="18.75" x14ac:dyDescent="0.25">
      <c r="B26" s="5" t="str">
        <f>Income_Statement!B26</f>
        <v>Total Tax Expenses</v>
      </c>
      <c r="C26" s="1"/>
      <c r="D26" s="2">
        <f>Income_Statement!D26</f>
        <v>2778.01</v>
      </c>
      <c r="E26" s="2">
        <f>Income_Statement!E26</f>
        <v>3405.39</v>
      </c>
      <c r="F26" s="2">
        <f>Income_Statement!F26</f>
        <v>6718.43</v>
      </c>
      <c r="G26" s="2">
        <f>Income_Statement!G26</f>
        <v>-2568.41</v>
      </c>
    </row>
    <row r="27" spans="2:7" ht="18.75" x14ac:dyDescent="0.25">
      <c r="B27" s="6" t="s">
        <v>73</v>
      </c>
      <c r="C27" s="3"/>
      <c r="D27" s="4">
        <f>D12+D13+D14+D15+D16+D17+D18+D20+D21+D22+D23+D24-D26+D10+D5</f>
        <v>18091.070000000003</v>
      </c>
      <c r="E27" s="4">
        <f t="shared" ref="E27:G27" si="1">E12+E13+E14+E15+E16+E17+E18+E20+E21+E22+E23+E24-E26+E10+E5</f>
        <v>20905.800000000003</v>
      </c>
      <c r="F27" s="4">
        <f t="shared" si="1"/>
        <v>24136.679999999978</v>
      </c>
      <c r="G27" s="4">
        <f t="shared" si="1"/>
        <v>7757.3099999999795</v>
      </c>
    </row>
    <row r="28" spans="2:7" ht="18.75" x14ac:dyDescent="0.25">
      <c r="B28" s="5" t="s">
        <v>74</v>
      </c>
      <c r="C28" s="1"/>
      <c r="D28" s="1"/>
      <c r="E28" s="1"/>
      <c r="F28" s="1"/>
      <c r="G28" s="1"/>
    </row>
    <row r="29" spans="2:7" ht="18.75" x14ac:dyDescent="0.25">
      <c r="B29" s="5" t="str">
        <f>Balance_Sheet!B23</f>
        <v>Tangible Assets</v>
      </c>
      <c r="C29" s="1"/>
      <c r="D29" s="2">
        <f>Balance_Sheet!C23-Balance_Sheet!D23</f>
        <v>-20311.349999999991</v>
      </c>
      <c r="E29" s="2">
        <f>Balance_Sheet!D23-Balance_Sheet!E23</f>
        <v>-3442.1900000000023</v>
      </c>
      <c r="F29" s="2">
        <f>Balance_Sheet!E23-Balance_Sheet!F23</f>
        <v>-28128.190000000002</v>
      </c>
      <c r="G29" s="2">
        <f>Balance_Sheet!F23-Balance_Sheet!G23</f>
        <v>-9602.7899999999936</v>
      </c>
    </row>
    <row r="30" spans="2:7" ht="18.75" x14ac:dyDescent="0.25">
      <c r="B30" s="5" t="str">
        <f>Balance_Sheet!B24</f>
        <v>Intangible Assets</v>
      </c>
      <c r="C30" s="1"/>
      <c r="D30" s="2">
        <f>Balance_Sheet!C24-Balance_Sheet!D24</f>
        <v>-68.269999999999982</v>
      </c>
      <c r="E30" s="2">
        <f>Balance_Sheet!D24-Balance_Sheet!E24</f>
        <v>-51.430000000000064</v>
      </c>
      <c r="F30" s="2">
        <f>Balance_Sheet!E24-Balance_Sheet!F24</f>
        <v>-311.65999999999985</v>
      </c>
      <c r="G30" s="2">
        <f>Balance_Sheet!F24-Balance_Sheet!G24</f>
        <v>-448.04999999999995</v>
      </c>
    </row>
    <row r="31" spans="2:7" ht="18.75" x14ac:dyDescent="0.25">
      <c r="B31" s="5" t="str">
        <f>Balance_Sheet!B27</f>
        <v>Non-Current Investments</v>
      </c>
      <c r="C31" s="1"/>
      <c r="D31" s="2">
        <f>Balance_Sheet!C27-Balance_Sheet!D27</f>
        <v>-733.82999999999993</v>
      </c>
      <c r="E31" s="2">
        <f>Balance_Sheet!D27-Balance_Sheet!E27</f>
        <v>3793.49</v>
      </c>
      <c r="F31" s="2">
        <f>Balance_Sheet!E27-Balance_Sheet!F27</f>
        <v>-222.80999999999995</v>
      </c>
      <c r="G31" s="2">
        <f>Balance_Sheet!F27-Balance_Sheet!G27</f>
        <v>360</v>
      </c>
    </row>
    <row r="32" spans="2:7" ht="18.75" x14ac:dyDescent="0.25">
      <c r="B32" s="5" t="str">
        <f>Balance_Sheet!B28</f>
        <v>Current Investments</v>
      </c>
      <c r="C32" s="1"/>
      <c r="D32" s="2">
        <f>Balance_Sheet!C28-Balance_Sheet!D28</f>
        <v>-1009.5799999999999</v>
      </c>
      <c r="E32" s="2">
        <f>Balance_Sheet!D28-Balance_Sheet!E28</f>
        <v>-9235.84</v>
      </c>
      <c r="F32" s="2">
        <f>Balance_Sheet!E28-Balance_Sheet!F28</f>
        <v>12384.109999999999</v>
      </c>
      <c r="G32" s="2">
        <f>Balance_Sheet!F28-Balance_Sheet!G28</f>
        <v>-907.00999999999976</v>
      </c>
    </row>
    <row r="33" spans="2:7" ht="18.75" x14ac:dyDescent="0.25">
      <c r="B33" s="5" t="str">
        <f>Balance_Sheet!B29</f>
        <v>Capital Work-In-Progress</v>
      </c>
      <c r="C33" s="1"/>
      <c r="D33" s="2">
        <f>Balance_Sheet!C29-Balance_Sheet!D29</f>
        <v>22274.28</v>
      </c>
      <c r="E33" s="2">
        <f>Balance_Sheet!D29-Balance_Sheet!E29</f>
        <v>-645.42999999999847</v>
      </c>
      <c r="F33" s="2">
        <f>Balance_Sheet!E29-Balance_Sheet!F29</f>
        <v>-1796.7099999999991</v>
      </c>
      <c r="G33" s="2">
        <f>Balance_Sheet!F29-Balance_Sheet!G29</f>
        <v>-905.55000000000291</v>
      </c>
    </row>
    <row r="34" spans="2:7" ht="18.75" x14ac:dyDescent="0.25">
      <c r="B34" s="5" t="s">
        <v>28</v>
      </c>
      <c r="C34" s="1"/>
      <c r="D34" s="2">
        <f>Income_Statement!D8</f>
        <v>527.47</v>
      </c>
      <c r="E34" s="2">
        <f>Income_Statement!E8</f>
        <v>909.45</v>
      </c>
      <c r="F34" s="2">
        <f>Income_Statement!F8</f>
        <v>1420.58</v>
      </c>
      <c r="G34" s="2">
        <f>Income_Statement!G8</f>
        <v>1843.49</v>
      </c>
    </row>
    <row r="35" spans="2:7" ht="18.75" x14ac:dyDescent="0.25">
      <c r="B35" s="6" t="s">
        <v>75</v>
      </c>
      <c r="C35" s="3"/>
      <c r="D35" s="4">
        <f>D29+D30+D31+D32+D33+D34</f>
        <v>678.7200000000073</v>
      </c>
      <c r="E35" s="4">
        <f t="shared" ref="E35:G35" si="2">E29+E30+E31+E32+E33+E34</f>
        <v>-8671.9500000000007</v>
      </c>
      <c r="F35" s="4">
        <f t="shared" si="2"/>
        <v>-16654.68</v>
      </c>
      <c r="G35" s="4">
        <f t="shared" si="2"/>
        <v>-9659.9099999999962</v>
      </c>
    </row>
    <row r="36" spans="2:7" ht="18.75" x14ac:dyDescent="0.25">
      <c r="B36" s="5" t="s">
        <v>76</v>
      </c>
      <c r="C36" s="1"/>
      <c r="D36" s="1"/>
      <c r="E36" s="1"/>
      <c r="F36" s="1"/>
      <c r="G36" s="1"/>
    </row>
    <row r="37" spans="2:7" ht="18.75" x14ac:dyDescent="0.25">
      <c r="B37" s="5" t="str">
        <f>Balance_Sheet!B5</f>
        <v>Equity Share Capital</v>
      </c>
      <c r="C37" s="1"/>
      <c r="D37" s="2">
        <f>Balance_Sheet!D5-Balance_Sheet!C5</f>
        <v>0</v>
      </c>
      <c r="E37" s="2">
        <f>Balance_Sheet!E5-Balance_Sheet!D5</f>
        <v>174.71000000000004</v>
      </c>
      <c r="F37" s="2">
        <f>Balance_Sheet!F5-Balance_Sheet!E5</f>
        <v>-9.9999999999909051E-3</v>
      </c>
      <c r="G37" s="2">
        <f>Balance_Sheet!G5-Balance_Sheet!F5</f>
        <v>9.9999999999909051E-3</v>
      </c>
    </row>
    <row r="38" spans="2:7" ht="18.75" x14ac:dyDescent="0.25">
      <c r="B38" s="5" t="str">
        <f>Balance_Sheet!B6</f>
        <v>Preference Share Capital</v>
      </c>
      <c r="C38" s="1"/>
      <c r="D38" s="1">
        <f>Balance_Sheet!D6-Balance_Sheet!C6</f>
        <v>0</v>
      </c>
      <c r="E38" s="1">
        <f>Balance_Sheet!E6-Balance_Sheet!D6</f>
        <v>0</v>
      </c>
      <c r="F38" s="1">
        <f>Balance_Sheet!F6-Balance_Sheet!E6</f>
        <v>0</v>
      </c>
      <c r="G38" s="1">
        <f>Balance_Sheet!G6-Balance_Sheet!F6</f>
        <v>0</v>
      </c>
    </row>
    <row r="39" spans="2:7" ht="18.75" x14ac:dyDescent="0.25">
      <c r="B39" s="5" t="str">
        <f>Balance_Sheet!B10</f>
        <v>Long Term Borrowings</v>
      </c>
      <c r="C39" s="1"/>
      <c r="D39" s="2">
        <f>Balance_Sheet!D10-Balance_Sheet!C10</f>
        <v>-850.51000000000204</v>
      </c>
      <c r="E39" s="2">
        <f>Balance_Sheet!E10-Balance_Sheet!D10</f>
        <v>8766.830000000009</v>
      </c>
      <c r="F39" s="2">
        <f>Balance_Sheet!F10-Balance_Sheet!E10</f>
        <v>7553.6299999999901</v>
      </c>
      <c r="G39" s="2">
        <f>Balance_Sheet!G10-Balance_Sheet!F10</f>
        <v>13762.240000000005</v>
      </c>
    </row>
    <row r="40" spans="2:7" ht="18.75" x14ac:dyDescent="0.25">
      <c r="B40" s="5" t="str">
        <f>Balance_Sheet!B11</f>
        <v>Deferred Tax Liabilities [Net]</v>
      </c>
      <c r="C40" s="1"/>
      <c r="D40" s="2">
        <f>Balance_Sheet!D11-Balance_Sheet!C11</f>
        <v>609.19000000000051</v>
      </c>
      <c r="E40" s="2">
        <f>Balance_Sheet!E11-Balance_Sheet!D11</f>
        <v>539.79999999999927</v>
      </c>
      <c r="F40" s="2">
        <f>Balance_Sheet!F11-Balance_Sheet!E11</f>
        <v>1890.0100000000002</v>
      </c>
      <c r="G40" s="2">
        <f>Balance_Sheet!G11-Balance_Sheet!F11</f>
        <v>-3198.51</v>
      </c>
    </row>
    <row r="41" spans="2:7" ht="18.75" x14ac:dyDescent="0.25">
      <c r="B41" s="5" t="str">
        <f>Balance_Sheet!B12</f>
        <v>Short Term Borrowings</v>
      </c>
      <c r="C41" s="1"/>
      <c r="D41" s="2">
        <f>Balance_Sheet!D12-Balance_Sheet!C12</f>
        <v>2605.9799999999977</v>
      </c>
      <c r="E41" s="2">
        <f>Balance_Sheet!E12-Balance_Sheet!D12</f>
        <v>-2443.119999999999</v>
      </c>
      <c r="F41" s="2">
        <f>Balance_Sheet!F12-Balance_Sheet!E12</f>
        <v>-5082.8999999999996</v>
      </c>
      <c r="G41" s="2">
        <f>Balance_Sheet!G12-Balance_Sheet!F12</f>
        <v>8382.4</v>
      </c>
    </row>
    <row r="42" spans="2:7" ht="18.75" x14ac:dyDescent="0.25">
      <c r="B42" s="5" t="str">
        <f>Balance_Sheet!B20:G20</f>
        <v>Minority Interest</v>
      </c>
      <c r="C42" s="1"/>
      <c r="D42" s="2">
        <f>Balance_Sheet!D20-Balance_Sheet!C20</f>
        <v>820.76</v>
      </c>
      <c r="E42" s="2">
        <f>Balance_Sheet!E20-Balance_Sheet!D20</f>
        <v>-665.18000000000006</v>
      </c>
      <c r="F42" s="2">
        <f>Balance_Sheet!F20-Balance_Sheet!E20</f>
        <v>1427.94</v>
      </c>
      <c r="G42" s="2">
        <f>Balance_Sheet!G20-Balance_Sheet!F20</f>
        <v>222.13999999999987</v>
      </c>
    </row>
    <row r="43" spans="2:7" ht="18.75" x14ac:dyDescent="0.25">
      <c r="B43" s="5" t="s">
        <v>77</v>
      </c>
      <c r="C43" s="1"/>
      <c r="D43" s="1"/>
      <c r="E43" s="1"/>
      <c r="F43" s="1"/>
      <c r="G43" s="1"/>
    </row>
    <row r="44" spans="2:7" ht="18.75" x14ac:dyDescent="0.25">
      <c r="B44" s="5" t="str">
        <f>Income_Statement!B28</f>
        <v>Equity Share Dividend</v>
      </c>
      <c r="C44" s="1"/>
      <c r="D44" s="2">
        <f>Income_Statement!D28</f>
        <v>1043.07</v>
      </c>
      <c r="E44" s="2">
        <f>Income_Statement!E28</f>
        <v>1236.18</v>
      </c>
      <c r="F44" s="2">
        <f>Income_Statement!F28</f>
        <v>1144.76</v>
      </c>
      <c r="G44" s="2">
        <f>Income_Statement!G28</f>
        <v>1488.13</v>
      </c>
    </row>
    <row r="45" spans="2:7" ht="18.75" x14ac:dyDescent="0.25">
      <c r="B45" s="5" t="str">
        <f>Income_Statement!B29</f>
        <v>Tax On Dividend</v>
      </c>
      <c r="C45" s="1"/>
      <c r="D45" s="1">
        <f>Income_Statement!D29</f>
        <v>55.65</v>
      </c>
      <c r="E45" s="1">
        <f>Income_Statement!E29</f>
        <v>95.47</v>
      </c>
      <c r="F45" s="1">
        <f>Income_Statement!F29</f>
        <v>224.61</v>
      </c>
      <c r="G45" s="1">
        <f>Income_Statement!G29</f>
        <v>297.39999999999998</v>
      </c>
    </row>
    <row r="46" spans="2:7" ht="18.75" x14ac:dyDescent="0.25">
      <c r="B46" s="5" t="s">
        <v>78</v>
      </c>
      <c r="C46" s="1"/>
      <c r="D46" s="2">
        <f>Income_Statement!D20</f>
        <v>5072.2</v>
      </c>
      <c r="E46" s="2">
        <f>Income_Statement!E20</f>
        <v>5501.79</v>
      </c>
      <c r="F46" s="2">
        <f>Income_Statement!F20</f>
        <v>7660.1</v>
      </c>
      <c r="G46" s="2">
        <f>Income_Statement!G20</f>
        <v>7533.46</v>
      </c>
    </row>
    <row r="47" spans="2:7" ht="18.75" x14ac:dyDescent="0.25">
      <c r="B47" s="6" t="s">
        <v>79</v>
      </c>
      <c r="C47" s="3"/>
      <c r="D47" s="4">
        <f>D37+D38+D39+D40+D41+D42-D44-D45-D46</f>
        <v>-2985.5000000000032</v>
      </c>
      <c r="E47" s="4">
        <f t="shared" ref="E47:G47" si="3">E37+E38+E39+E40+E41+E42-E44-E45-E46</f>
        <v>-460.39999999999236</v>
      </c>
      <c r="F47" s="4">
        <f t="shared" si="3"/>
        <v>-3240.8000000000093</v>
      </c>
      <c r="G47" s="4">
        <f t="shared" si="3"/>
        <v>9849.2900000000045</v>
      </c>
    </row>
    <row r="48" spans="2:7" ht="18.75" x14ac:dyDescent="0.25">
      <c r="B48" s="6" t="s">
        <v>80</v>
      </c>
      <c r="C48" s="3"/>
      <c r="D48" s="4">
        <f>D27+D35+D47</f>
        <v>15784.290000000008</v>
      </c>
      <c r="E48" s="4">
        <f t="shared" ref="E48:G48" si="4">E27+E35+E47</f>
        <v>11773.45000000001</v>
      </c>
      <c r="F48" s="4">
        <f t="shared" si="4"/>
        <v>4241.1999999999689</v>
      </c>
      <c r="G48" s="4">
        <f t="shared" si="4"/>
        <v>7946.6899999999878</v>
      </c>
    </row>
  </sheetData>
  <mergeCells count="1">
    <mergeCell ref="B3:G3"/>
  </mergeCells>
  <hyperlinks>
    <hyperlink ref="F1" location="Index_Data!A1" tooltip="Hi click here To return Index page" display="Index_Data!A1" xr:uid="{D42C233E-21DC-4FF6-9DA8-CC139B19429A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8C008-9066-4B6C-836C-7358E331D1B7}">
  <sheetPr codeName="Sheet41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Income_Statement!B5</f>
        <v>Gross Sales</v>
      </c>
      <c r="C5" s="18">
        <f>Income_Statement!C5</f>
        <v>105683.18</v>
      </c>
      <c r="D5" s="18">
        <f>Income_Statement!D5</f>
        <v>116682.57</v>
      </c>
      <c r="E5" s="18">
        <f>Income_Statement!E5</f>
        <v>131741.49</v>
      </c>
      <c r="F5" s="18">
        <f>Income_Statement!F5</f>
        <v>154691.84</v>
      </c>
      <c r="G5" s="18">
        <f>Income_Statement!G5</f>
        <v>136976.76</v>
      </c>
    </row>
    <row r="6" spans="2:15" ht="18.75" x14ac:dyDescent="0.25">
      <c r="B6" s="17" t="str">
        <f>Income_Statement!B10</f>
        <v>Total Income</v>
      </c>
      <c r="C6" s="18">
        <f>Income_Statement!C10</f>
        <v>106095.4</v>
      </c>
      <c r="D6" s="18">
        <f>Income_Statement!D10</f>
        <v>112089.52</v>
      </c>
      <c r="E6" s="18">
        <f>Income_Statement!E10</f>
        <v>131790.32</v>
      </c>
      <c r="F6" s="18">
        <f>Income_Statement!F10</f>
        <v>156112.21</v>
      </c>
      <c r="G6" s="18">
        <f>Income_Statement!G10</f>
        <v>138820.25</v>
      </c>
    </row>
  </sheetData>
  <hyperlinks>
    <hyperlink ref="F1" location="Index_Data!A1" tooltip="Hi click here To return Index page" display="Index_Data!A1" xr:uid="{10AE0135-833B-45D3-A006-769EE6E9321E}"/>
  </hyperlinks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4D0E4-5F5E-4BD6-ACA9-1097D2A41726}">
  <sheetPr codeName="Sheet42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Balance_Sheet!B21</f>
        <v>Total Liabilities</v>
      </c>
      <c r="C5" s="18">
        <f>Balance_Sheet!C21</f>
        <v>175236.44</v>
      </c>
      <c r="D5" s="18">
        <f>Balance_Sheet!D21</f>
        <v>180945.45</v>
      </c>
      <c r="E5" s="18">
        <f>Balance_Sheet!E21</f>
        <v>219375.57</v>
      </c>
      <c r="F5" s="18">
        <f>Balance_Sheet!F21</f>
        <v>244568.61</v>
      </c>
      <c r="G5" s="18">
        <f>Balance_Sheet!G21</f>
        <v>256190.3</v>
      </c>
    </row>
    <row r="6" spans="2:15" ht="18.75" x14ac:dyDescent="0.25">
      <c r="B6" s="17" t="str">
        <f>Balance_Sheet!B13</f>
        <v>Total Debt</v>
      </c>
      <c r="C6" s="18">
        <f>Balance_Sheet!C13</f>
        <v>90015.79</v>
      </c>
      <c r="D6" s="18">
        <f>Balance_Sheet!D13</f>
        <v>92380.449999999983</v>
      </c>
      <c r="E6" s="18">
        <f>Balance_Sheet!E13</f>
        <v>99243.96</v>
      </c>
      <c r="F6" s="18">
        <f>Balance_Sheet!F13</f>
        <v>103604.7</v>
      </c>
      <c r="G6" s="18">
        <f>Balance_Sheet!G13</f>
        <v>122550.83</v>
      </c>
    </row>
  </sheetData>
  <hyperlinks>
    <hyperlink ref="F1" location="Index_Data!A1" tooltip="Hi click here To return Index page" display="Index_Data!A1" xr:uid="{9003E3AF-8E3F-4159-B612-805082925C89}"/>
  </hyperlinks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ED86C-CD77-4B20-BD11-D27E24FB6E16}">
  <sheetPr codeName="Sheet43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Balance_Sheet!B21</f>
        <v>Total Liabilities</v>
      </c>
      <c r="C5" s="18">
        <f>Balance_Sheet!C21</f>
        <v>175236.44</v>
      </c>
      <c r="D5" s="18">
        <f>Balance_Sheet!D21</f>
        <v>180945.45</v>
      </c>
      <c r="E5" s="18">
        <f>Balance_Sheet!E21</f>
        <v>219375.57</v>
      </c>
      <c r="F5" s="18">
        <f>Balance_Sheet!F21</f>
        <v>244568.61</v>
      </c>
      <c r="G5" s="18">
        <f>Balance_Sheet!G21</f>
        <v>256190.3</v>
      </c>
    </row>
    <row r="6" spans="2:15" ht="18.75" x14ac:dyDescent="0.25">
      <c r="B6" s="17" t="str">
        <f>Balance_Sheet!B19</f>
        <v>Total Current Liabilities</v>
      </c>
      <c r="C6" s="18">
        <f>Balance_Sheet!C19</f>
        <v>42982.16</v>
      </c>
      <c r="D6" s="18">
        <f>Balance_Sheet!D19</f>
        <v>41531.770000000004</v>
      </c>
      <c r="E6" s="18">
        <f>Balance_Sheet!E19</f>
        <v>48706.84</v>
      </c>
      <c r="F6" s="18">
        <f>Balance_Sheet!F19</f>
        <v>58688.149999999994</v>
      </c>
      <c r="G6" s="18">
        <f>Balance_Sheet!G19</f>
        <v>51705.72</v>
      </c>
    </row>
  </sheetData>
  <hyperlinks>
    <hyperlink ref="F1" location="Index_Data!A1" tooltip="Hi click here To return Index page" display="Index_Data!A1" xr:uid="{73203437-68E5-4A42-96EB-660B2749EA9F}"/>
  </hyperlinks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B1EC8-B679-40BD-B491-10DD3F65A26C}">
  <sheetPr codeName="Sheet44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Balance_Sheet!B40</f>
        <v>Total Assets</v>
      </c>
      <c r="C5" s="18">
        <f>Balance_Sheet!C40</f>
        <v>175236.44000000003</v>
      </c>
      <c r="D5" s="18">
        <f>Balance_Sheet!D40</f>
        <v>180945.45</v>
      </c>
      <c r="E5" s="18">
        <f>Balance_Sheet!E40</f>
        <v>219375.57</v>
      </c>
      <c r="F5" s="18">
        <f>Balance_Sheet!F40</f>
        <v>244568.61</v>
      </c>
      <c r="G5" s="18">
        <f>Balance_Sheet!G40</f>
        <v>256190.29999999993</v>
      </c>
    </row>
    <row r="6" spans="2:15" ht="18.75" x14ac:dyDescent="0.25">
      <c r="B6" s="17" t="str">
        <f>Balance_Sheet!B30</f>
        <v>Total Non Current Assets</v>
      </c>
      <c r="C6" s="18">
        <f>Balance_Sheet!C30</f>
        <v>116634.56000000003</v>
      </c>
      <c r="D6" s="18">
        <f>Balance_Sheet!D30</f>
        <v>110810.43</v>
      </c>
      <c r="E6" s="18">
        <f>Balance_Sheet!E30</f>
        <v>114430.17</v>
      </c>
      <c r="F6" s="18">
        <f>Balance_Sheet!F30</f>
        <v>125163.6</v>
      </c>
      <c r="G6" s="18">
        <f>Balance_Sheet!G30</f>
        <v>128226.26999999997</v>
      </c>
    </row>
  </sheetData>
  <hyperlinks>
    <hyperlink ref="F1" location="Index_Data!A1" tooltip="Hi click here To return Index page" display="Index_Data!A1" xr:uid="{AE521BDA-8D8A-417B-A7D0-73511130602E}"/>
  </hyperlinks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48951-E828-41F9-B5DD-7F3CDB0648D5}">
  <sheetPr codeName="Sheet45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Balance_Sheet!B40</f>
        <v>Total Assets</v>
      </c>
      <c r="C5" s="18">
        <f>Balance_Sheet!C40</f>
        <v>175236.44000000003</v>
      </c>
      <c r="D5" s="18">
        <f>Balance_Sheet!D40</f>
        <v>180945.45</v>
      </c>
      <c r="E5" s="18">
        <f>Balance_Sheet!E40</f>
        <v>219375.57</v>
      </c>
      <c r="F5" s="18">
        <f>Balance_Sheet!F40</f>
        <v>244568.61</v>
      </c>
      <c r="G5" s="18">
        <f>Balance_Sheet!G40</f>
        <v>256190.29999999993</v>
      </c>
    </row>
    <row r="6" spans="2:15" ht="18.75" x14ac:dyDescent="0.25">
      <c r="B6" s="17" t="str">
        <f>Balance_Sheet!B39</f>
        <v>Total Current Assets</v>
      </c>
      <c r="C6" s="18">
        <f>Balance_Sheet!C39</f>
        <v>58601.880000000005</v>
      </c>
      <c r="D6" s="18">
        <f>Balance_Sheet!D39</f>
        <v>70135.02</v>
      </c>
      <c r="E6" s="18">
        <f>Balance_Sheet!E39</f>
        <v>104945.40000000002</v>
      </c>
      <c r="F6" s="18">
        <f>Balance_Sheet!F39</f>
        <v>119405.01</v>
      </c>
      <c r="G6" s="18">
        <f>Balance_Sheet!G39</f>
        <v>127964.02999999997</v>
      </c>
    </row>
  </sheetData>
  <hyperlinks>
    <hyperlink ref="F1" location="Index_Data!A1" tooltip="Hi click here To return Index page" display="Index_Data!A1" xr:uid="{FE70BBF6-13AA-40BD-9CC6-E7D252B5EA2D}"/>
  </hyperlinks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E4821-5539-4C8B-BF53-EEEF02C7674B}">
  <sheetPr codeName="Sheet46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Income_Statement!B15</f>
        <v>Total Expenditure</v>
      </c>
      <c r="C5" s="18">
        <f>Income_Statement!C15</f>
        <v>86958</v>
      </c>
      <c r="D5" s="18">
        <f>Income_Statement!D15</f>
        <v>89169.5</v>
      </c>
      <c r="E5" s="18">
        <f>Income_Statement!E15</f>
        <v>100306.94</v>
      </c>
      <c r="F5" s="18">
        <f>Income_Statement!F15</f>
        <v>123478.45000000001</v>
      </c>
      <c r="G5" s="18">
        <f>Income_Statement!G15</f>
        <v>120441.05000000002</v>
      </c>
    </row>
    <row r="6" spans="2:15" ht="18.75" x14ac:dyDescent="0.25">
      <c r="B6" s="17" t="str">
        <f>Income_Statement!B10</f>
        <v>Total Income</v>
      </c>
      <c r="C6" s="18">
        <f>Income_Statement!C10</f>
        <v>106095.4</v>
      </c>
      <c r="D6" s="18">
        <f>Income_Statement!D10</f>
        <v>112089.52</v>
      </c>
      <c r="E6" s="18">
        <f>Income_Statement!E10</f>
        <v>131790.32</v>
      </c>
      <c r="F6" s="18">
        <f>Income_Statement!F10</f>
        <v>156112.21</v>
      </c>
      <c r="G6" s="18">
        <f>Income_Statement!G10</f>
        <v>138820.25</v>
      </c>
    </row>
  </sheetData>
  <hyperlinks>
    <hyperlink ref="F1" location="Index_Data!A1" tooltip="Hi click here To return Index page" display="Index_Data!A1" xr:uid="{EE78273B-349B-4779-89F9-6D523CA7A173}"/>
  </hyperlinks>
  <pageMargins left="0.7" right="0.7" top="0.75" bottom="0.75" header="0.3" footer="0.3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9B3AB-A707-4FBF-A23E-BC5335395985}">
  <sheetPr codeName="Sheet47"/>
  <dimension ref="B1:O6"/>
  <sheetViews>
    <sheetView showGridLines="0" workbookViewId="0">
      <selection activeCell="C5" sqref="C5:G6"/>
    </sheetView>
  </sheetViews>
  <sheetFormatPr defaultRowHeight="15" x14ac:dyDescent="0.25"/>
  <cols>
    <col min="2" max="2" width="42.5703125" bestFit="1" customWidth="1"/>
    <col min="3" max="3" width="13.140625" bestFit="1" customWidth="1"/>
    <col min="4" max="4" width="11.5703125" bestFit="1" customWidth="1"/>
    <col min="5" max="6" width="13.140625" bestFit="1" customWidth="1"/>
    <col min="7" max="7" width="11.5703125" bestFit="1" customWidth="1"/>
  </cols>
  <sheetData>
    <row r="1" spans="2:15" x14ac:dyDescent="0.25">
      <c r="F1" s="31" t="s">
        <v>203</v>
      </c>
      <c r="O1" s="33"/>
    </row>
    <row r="4" spans="2:15" x14ac:dyDescent="0.25">
      <c r="B4" t="s">
        <v>201</v>
      </c>
      <c r="C4">
        <f>Balance_Sheet!C4</f>
        <v>2015</v>
      </c>
      <c r="D4">
        <f>Balance_Sheet!D4</f>
        <v>2016</v>
      </c>
      <c r="E4">
        <f>Balance_Sheet!E4</f>
        <v>2017</v>
      </c>
      <c r="F4">
        <f>Balance_Sheet!F4</f>
        <v>2018</v>
      </c>
      <c r="G4">
        <f>Balance_Sheet!G4</f>
        <v>2019</v>
      </c>
    </row>
    <row r="5" spans="2:15" ht="18.75" x14ac:dyDescent="0.25">
      <c r="B5" s="17" t="str">
        <f>Income_Statement!B30</f>
        <v>Amount C\F to Balance Sheet</v>
      </c>
      <c r="C5" s="18">
        <f>Income_Statement!C30</f>
        <v>11983.789999999995</v>
      </c>
      <c r="D5" s="18">
        <f>Income_Statement!D30</f>
        <v>3973.9800000000027</v>
      </c>
      <c r="E5" s="18">
        <f>Income_Statement!E30</f>
        <v>24882.010000000002</v>
      </c>
      <c r="F5" s="18">
        <f>Income_Statement!F30</f>
        <v>9423.0599999999777</v>
      </c>
      <c r="G5" s="18">
        <f>Income_Statement!G30</f>
        <v>-564.16000000001748</v>
      </c>
    </row>
    <row r="6" spans="2:15" ht="18.75" x14ac:dyDescent="0.25">
      <c r="B6" s="17" t="str">
        <f>Income_Statement!B27</f>
        <v>Reported Net Profit(PAT)</v>
      </c>
      <c r="C6" s="18">
        <f>Income_Statement!C27</f>
        <v>12910.059999999994</v>
      </c>
      <c r="D6" s="18">
        <f>Income_Statement!D27</f>
        <v>5072.7000000000025</v>
      </c>
      <c r="E6" s="18">
        <f>Income_Statement!E27</f>
        <v>26213.660000000003</v>
      </c>
      <c r="F6" s="18">
        <f>Income_Statement!F27</f>
        <v>10792.429999999978</v>
      </c>
      <c r="G6" s="18">
        <f>Income_Statement!G27</f>
        <v>1221.3699999999826</v>
      </c>
    </row>
  </sheetData>
  <hyperlinks>
    <hyperlink ref="F1" location="Index_Data!A1" tooltip="Hi click here To return Index page" display="Index_Data!A1" xr:uid="{128BB81C-9089-4258-A778-EBC1FC5463FD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F8F6-7D17-48C8-BA49-559841F84FC7}">
  <sheetPr codeName="Sheet6"/>
  <dimension ref="B1:O75"/>
  <sheetViews>
    <sheetView showGridLines="0" workbookViewId="0">
      <selection activeCell="C75" sqref="C75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7" t="s">
        <v>66</v>
      </c>
      <c r="C3" s="8"/>
      <c r="D3" s="8"/>
      <c r="E3" s="8"/>
      <c r="F3" s="8"/>
      <c r="G3" s="8"/>
    </row>
    <row r="4" spans="2:15" ht="18.75" x14ac:dyDescent="0.25">
      <c r="B4" s="9" t="s">
        <v>57</v>
      </c>
      <c r="C4" s="9">
        <v>2015</v>
      </c>
      <c r="D4" s="9">
        <v>2016</v>
      </c>
      <c r="E4" s="9">
        <v>2017</v>
      </c>
      <c r="F4" s="9">
        <v>2018</v>
      </c>
      <c r="G4" s="9">
        <v>2019</v>
      </c>
    </row>
    <row r="5" spans="2:15" ht="18.75" x14ac:dyDescent="0.25">
      <c r="B5" s="5" t="s">
        <v>0</v>
      </c>
      <c r="C5" s="2">
        <v>970.24</v>
      </c>
      <c r="D5" s="2">
        <v>970.24</v>
      </c>
      <c r="E5" s="2">
        <v>1144.95</v>
      </c>
      <c r="F5" s="1">
        <v>1144.94</v>
      </c>
      <c r="G5" s="1">
        <v>1144.95</v>
      </c>
    </row>
    <row r="6" spans="2:15" x14ac:dyDescent="0.25">
      <c r="B6" s="10" t="s">
        <v>82</v>
      </c>
      <c r="C6" s="11">
        <f>C5/Balance_Sheet!C40</f>
        <v>5.5367479503692259E-3</v>
      </c>
      <c r="D6" s="11">
        <f>D5/Balance_Sheet!D40</f>
        <v>5.3620580125115051E-3</v>
      </c>
      <c r="E6" s="11">
        <f>E5/Balance_Sheet!E40</f>
        <v>5.2191317383243722E-3</v>
      </c>
      <c r="F6" s="11">
        <f>F5/Balance_Sheet!F40</f>
        <v>4.6814675031272412E-3</v>
      </c>
      <c r="G6" s="11">
        <f>G5/Balance_Sheet!G40</f>
        <v>4.4691387613036105E-3</v>
      </c>
    </row>
    <row r="7" spans="2:15" ht="18.75" x14ac:dyDescent="0.25">
      <c r="B7" s="5" t="s">
        <v>59</v>
      </c>
      <c r="C7" s="1"/>
      <c r="D7" s="1"/>
      <c r="E7" s="1"/>
      <c r="F7" s="1"/>
      <c r="G7" s="1"/>
    </row>
    <row r="8" spans="2:15" x14ac:dyDescent="0.25">
      <c r="B8" s="10" t="s">
        <v>83</v>
      </c>
      <c r="C8" s="11">
        <f>C7/Balance_Sheet!C40</f>
        <v>0</v>
      </c>
      <c r="D8" s="11">
        <f>D7/Balance_Sheet!D40</f>
        <v>0</v>
      </c>
      <c r="E8" s="11">
        <f>E7/Balance_Sheet!E40</f>
        <v>0</v>
      </c>
      <c r="F8" s="11">
        <f>F7/Balance_Sheet!F40</f>
        <v>0</v>
      </c>
      <c r="G8" s="11">
        <f>G7/Balance_Sheet!G40</f>
        <v>0</v>
      </c>
    </row>
    <row r="9" spans="2:15" ht="18.75" x14ac:dyDescent="0.25">
      <c r="B9" s="6" t="s">
        <v>1</v>
      </c>
      <c r="C9" s="4">
        <f>C5+C7</f>
        <v>970.24</v>
      </c>
      <c r="D9" s="4">
        <f t="shared" ref="D9:G9" si="0">D5+D7</f>
        <v>970.24</v>
      </c>
      <c r="E9" s="4">
        <f t="shared" si="0"/>
        <v>1144.95</v>
      </c>
      <c r="F9" s="4">
        <f t="shared" si="0"/>
        <v>1144.94</v>
      </c>
      <c r="G9" s="4">
        <f t="shared" si="0"/>
        <v>1144.95</v>
      </c>
    </row>
    <row r="10" spans="2:15" x14ac:dyDescent="0.25">
      <c r="B10" s="12" t="s">
        <v>84</v>
      </c>
      <c r="C10" s="13">
        <f>C9/Balance_Sheet!C40</f>
        <v>5.5367479503692259E-3</v>
      </c>
      <c r="D10" s="13">
        <f>D9/Balance_Sheet!D40</f>
        <v>5.3620580125115051E-3</v>
      </c>
      <c r="E10" s="13">
        <f>E9/Balance_Sheet!E40</f>
        <v>5.2191317383243722E-3</v>
      </c>
      <c r="F10" s="13">
        <f>F9/Balance_Sheet!F40</f>
        <v>4.6814675031272412E-3</v>
      </c>
      <c r="G10" s="13">
        <f>G9/Balance_Sheet!G40</f>
        <v>4.4691387613036105E-3</v>
      </c>
    </row>
    <row r="11" spans="2:15" ht="18.75" x14ac:dyDescent="0.25">
      <c r="B11" s="5" t="s">
        <v>2</v>
      </c>
      <c r="C11" s="2">
        <v>40487.31</v>
      </c>
      <c r="D11" s="2">
        <f>Income_Statement!D30+C11</f>
        <v>44461.29</v>
      </c>
      <c r="E11" s="2">
        <f>Income_Statement!E30+D11</f>
        <v>69343.3</v>
      </c>
      <c r="F11" s="2">
        <f>Income_Statement!F30+E11</f>
        <v>78766.359999999986</v>
      </c>
      <c r="G11" s="2">
        <f>Income_Statement!G30+F11</f>
        <v>78202.199999999968</v>
      </c>
    </row>
    <row r="12" spans="2:15" x14ac:dyDescent="0.25">
      <c r="B12" s="10" t="s">
        <v>85</v>
      </c>
      <c r="C12" s="11">
        <f>C11/Balance_Sheet!C40</f>
        <v>0.23104389703420128</v>
      </c>
      <c r="D12" s="11">
        <f>D11/Balance_Sheet!D40</f>
        <v>0.24571654053749348</v>
      </c>
      <c r="E12" s="11">
        <f>E11/Balance_Sheet!E40</f>
        <v>0.31609399351076328</v>
      </c>
      <c r="F12" s="11">
        <f>F11/Balance_Sheet!F40</f>
        <v>0.32206242657224077</v>
      </c>
      <c r="G12" s="11">
        <f>G11/Balance_Sheet!G40</f>
        <v>0.30525043297892229</v>
      </c>
    </row>
    <row r="13" spans="2:15" ht="18.75" x14ac:dyDescent="0.25">
      <c r="B13" s="6" t="s">
        <v>60</v>
      </c>
      <c r="C13" s="4">
        <f>C9+C11</f>
        <v>41457.549999999996</v>
      </c>
      <c r="D13" s="4">
        <f t="shared" ref="D13:G13" si="1">D9+D11</f>
        <v>45431.53</v>
      </c>
      <c r="E13" s="4">
        <f t="shared" si="1"/>
        <v>70488.25</v>
      </c>
      <c r="F13" s="4">
        <f t="shared" si="1"/>
        <v>79911.299999999988</v>
      </c>
      <c r="G13" s="4">
        <f t="shared" si="1"/>
        <v>79347.149999999965</v>
      </c>
    </row>
    <row r="14" spans="2:15" x14ac:dyDescent="0.25">
      <c r="B14" s="12" t="s">
        <v>86</v>
      </c>
      <c r="C14" s="13">
        <f>C13/Balance_Sheet!C40</f>
        <v>0.23658064498457049</v>
      </c>
      <c r="D14" s="13">
        <f>D13/Balance_Sheet!D40</f>
        <v>0.25107859855000497</v>
      </c>
      <c r="E14" s="13">
        <f>E13/Balance_Sheet!E40</f>
        <v>0.32131312524908767</v>
      </c>
      <c r="F14" s="13">
        <f>F13/Balance_Sheet!F40</f>
        <v>0.32674389407536802</v>
      </c>
      <c r="G14" s="13">
        <f>G13/Balance_Sheet!G40</f>
        <v>0.30971957174022585</v>
      </c>
    </row>
    <row r="15" spans="2:15" ht="18.75" x14ac:dyDescent="0.25">
      <c r="B15" s="5" t="s">
        <v>4</v>
      </c>
      <c r="C15" s="2">
        <v>64872.78</v>
      </c>
      <c r="D15" s="2">
        <v>64022.27</v>
      </c>
      <c r="E15" s="2">
        <v>72789.100000000006</v>
      </c>
      <c r="F15" s="2">
        <v>80342.73</v>
      </c>
      <c r="G15" s="2">
        <v>94104.97</v>
      </c>
    </row>
    <row r="16" spans="2:15" x14ac:dyDescent="0.25">
      <c r="B16" s="10" t="s">
        <v>87</v>
      </c>
      <c r="C16" s="11">
        <f>C15/Balance_Sheet!C40</f>
        <v>0.37020142614173163</v>
      </c>
      <c r="D16" s="11">
        <f>D15/Balance_Sheet!D40</f>
        <v>0.35382083384799118</v>
      </c>
      <c r="E16" s="11">
        <f>E15/Balance_Sheet!E40</f>
        <v>0.33180130312595885</v>
      </c>
      <c r="F16" s="11">
        <f>F15/Balance_Sheet!F40</f>
        <v>0.32850793893787106</v>
      </c>
      <c r="G16" s="11">
        <f>G15/Balance_Sheet!G40</f>
        <v>0.36732448496293585</v>
      </c>
    </row>
    <row r="17" spans="2:7" ht="18.75" x14ac:dyDescent="0.25">
      <c r="B17" s="5" t="s">
        <v>5</v>
      </c>
      <c r="C17" s="2">
        <v>9420.89</v>
      </c>
      <c r="D17" s="2">
        <v>10030.08</v>
      </c>
      <c r="E17" s="2">
        <v>10569.88</v>
      </c>
      <c r="F17" s="2">
        <v>12459.89</v>
      </c>
      <c r="G17" s="2">
        <v>9261.3799999999992</v>
      </c>
    </row>
    <row r="18" spans="2:7" x14ac:dyDescent="0.25">
      <c r="B18" s="10" t="s">
        <v>88</v>
      </c>
      <c r="C18" s="11">
        <f>C17/Balance_Sheet!C40</f>
        <v>5.3761021394865119E-2</v>
      </c>
      <c r="D18" s="11">
        <f>D17/Balance_Sheet!D40</f>
        <v>5.5431512646490967E-2</v>
      </c>
      <c r="E18" s="11">
        <f>E17/Balance_Sheet!E40</f>
        <v>4.8181663983824632E-2</v>
      </c>
      <c r="F18" s="11">
        <f>F17/Balance_Sheet!F40</f>
        <v>5.0946399049330168E-2</v>
      </c>
      <c r="G18" s="11">
        <f>G17/Balance_Sheet!G40</f>
        <v>3.6150392891534149E-2</v>
      </c>
    </row>
    <row r="19" spans="2:7" ht="18.75" x14ac:dyDescent="0.25">
      <c r="B19" s="5" t="s">
        <v>8</v>
      </c>
      <c r="C19" s="2">
        <v>15722.12</v>
      </c>
      <c r="D19" s="2">
        <v>18328.099999999999</v>
      </c>
      <c r="E19" s="2">
        <v>15884.98</v>
      </c>
      <c r="F19" s="2">
        <v>10802.08</v>
      </c>
      <c r="G19" s="2">
        <v>19184.48</v>
      </c>
    </row>
    <row r="20" spans="2:7" x14ac:dyDescent="0.25">
      <c r="B20" s="10" t="s">
        <v>89</v>
      </c>
      <c r="C20" s="11">
        <f>C19/Balance_Sheet!C40</f>
        <v>8.9719467024096125E-2</v>
      </c>
      <c r="D20" s="11">
        <f>D19/Balance_Sheet!D40</f>
        <v>0.10129074812326033</v>
      </c>
      <c r="E20" s="11">
        <f>E19/Balance_Sheet!E40</f>
        <v>7.2409977100002521E-2</v>
      </c>
      <c r="F20" s="11">
        <f>F19/Balance_Sheet!F40</f>
        <v>4.4167892191888408E-2</v>
      </c>
      <c r="G20" s="11">
        <f>G19/Balance_Sheet!G40</f>
        <v>7.4883709492513981E-2</v>
      </c>
    </row>
    <row r="21" spans="2:7" ht="18.75" x14ac:dyDescent="0.25">
      <c r="B21" s="6" t="s">
        <v>61</v>
      </c>
      <c r="C21" s="4">
        <f>C15+C17+C19</f>
        <v>90015.79</v>
      </c>
      <c r="D21" s="4">
        <f t="shared" ref="D21:G21" si="2">D15+D17+D19</f>
        <v>92380.449999999983</v>
      </c>
      <c r="E21" s="4">
        <f t="shared" si="2"/>
        <v>99243.96</v>
      </c>
      <c r="F21" s="4">
        <f t="shared" si="2"/>
        <v>103604.7</v>
      </c>
      <c r="G21" s="4">
        <f t="shared" si="2"/>
        <v>122550.83</v>
      </c>
    </row>
    <row r="22" spans="2:7" x14ac:dyDescent="0.25">
      <c r="B22" s="12" t="s">
        <v>90</v>
      </c>
      <c r="C22" s="13">
        <f>C21/Balance_Sheet!C40</f>
        <v>0.51368191456069279</v>
      </c>
      <c r="D22" s="13">
        <f>D21/Balance_Sheet!D40</f>
        <v>0.51054309461774239</v>
      </c>
      <c r="E22" s="13">
        <f>E21/Balance_Sheet!E40</f>
        <v>0.45239294420978599</v>
      </c>
      <c r="F22" s="13">
        <f>F21/Balance_Sheet!F40</f>
        <v>0.42362223017908962</v>
      </c>
      <c r="G22" s="13">
        <f>G21/Balance_Sheet!G40</f>
        <v>0.478358587346984</v>
      </c>
    </row>
    <row r="23" spans="2:7" ht="18.75" x14ac:dyDescent="0.25">
      <c r="B23" s="5" t="s">
        <v>7</v>
      </c>
      <c r="C23" s="2">
        <v>4440.4799999999996</v>
      </c>
      <c r="D23" s="2">
        <v>4279.6899999999996</v>
      </c>
      <c r="E23" s="2">
        <v>4338.24</v>
      </c>
      <c r="F23" s="2">
        <v>4046.21</v>
      </c>
      <c r="G23" s="2">
        <v>4235.07</v>
      </c>
    </row>
    <row r="24" spans="2:7" x14ac:dyDescent="0.25">
      <c r="B24" s="10" t="s">
        <v>91</v>
      </c>
      <c r="C24" s="11">
        <f>C23/Balance_Sheet!C40</f>
        <v>2.5339935004386065E-2</v>
      </c>
      <c r="D24" s="11">
        <f>D23/Balance_Sheet!D40</f>
        <v>2.3651824348166806E-2</v>
      </c>
      <c r="E24" s="11">
        <f>E23/Balance_Sheet!E40</f>
        <v>1.9775401609212911E-2</v>
      </c>
      <c r="F24" s="11">
        <f>F23/Balance_Sheet!F40</f>
        <v>1.6544273608947609E-2</v>
      </c>
      <c r="G24" s="11">
        <f>G23/Balance_Sheet!G40</f>
        <v>1.6530953748053696E-2</v>
      </c>
    </row>
    <row r="25" spans="2:7" ht="18.75" x14ac:dyDescent="0.25">
      <c r="B25" s="5" t="s">
        <v>11</v>
      </c>
      <c r="C25" s="2">
        <v>1521.86</v>
      </c>
      <c r="D25" s="2">
        <v>987.38</v>
      </c>
      <c r="E25" s="2">
        <v>1269.6400000000001</v>
      </c>
      <c r="F25" s="1">
        <v>1248.72</v>
      </c>
      <c r="G25" s="2">
        <v>1663.67</v>
      </c>
    </row>
    <row r="26" spans="2:7" x14ac:dyDescent="0.25">
      <c r="B26" s="10" t="s">
        <v>92</v>
      </c>
      <c r="C26" s="11">
        <f>C25/Balance_Sheet!C40</f>
        <v>8.6846092057108644E-3</v>
      </c>
      <c r="D26" s="11">
        <f>D25/Balance_Sheet!D40</f>
        <v>5.4567826933476357E-3</v>
      </c>
      <c r="E26" s="11">
        <f>E25/Balance_Sheet!E40</f>
        <v>5.7875177258798691E-3</v>
      </c>
      <c r="F26" s="11">
        <f>F25/Balance_Sheet!F40</f>
        <v>5.1058065055854885E-3</v>
      </c>
      <c r="G26" s="11">
        <f>G25/Balance_Sheet!G40</f>
        <v>6.4938836482099456E-3</v>
      </c>
    </row>
    <row r="27" spans="2:7" ht="18.75" x14ac:dyDescent="0.25">
      <c r="B27" s="5" t="s">
        <v>6</v>
      </c>
      <c r="C27" s="2">
        <v>6309.83</v>
      </c>
      <c r="D27" s="2">
        <v>5239.13</v>
      </c>
      <c r="E27" s="2">
        <v>4592.17</v>
      </c>
      <c r="F27" s="2">
        <v>4409.8900000000003</v>
      </c>
      <c r="G27" s="2">
        <v>4994.22</v>
      </c>
    </row>
    <row r="28" spans="2:7" x14ac:dyDescent="0.25">
      <c r="B28" s="10" t="s">
        <v>93</v>
      </c>
      <c r="C28" s="11">
        <f>C27/Balance_Sheet!C40</f>
        <v>3.6007522179747536E-2</v>
      </c>
      <c r="D28" s="11">
        <f>D27/Balance_Sheet!D40</f>
        <v>2.8954195864002105E-2</v>
      </c>
      <c r="E28" s="11">
        <f>E27/Balance_Sheet!E40</f>
        <v>2.0932914271174316E-2</v>
      </c>
      <c r="F28" s="11">
        <f>F27/Balance_Sheet!F40</f>
        <v>1.8031300092027348E-2</v>
      </c>
      <c r="G28" s="11">
        <f>G27/Balance_Sheet!G40</f>
        <v>1.9494180693023902E-2</v>
      </c>
    </row>
    <row r="29" spans="2:7" ht="18.75" x14ac:dyDescent="0.25">
      <c r="B29" s="5" t="s">
        <v>9</v>
      </c>
      <c r="C29" s="2">
        <v>18556.7</v>
      </c>
      <c r="D29" s="2">
        <v>18574.46</v>
      </c>
      <c r="E29" s="2">
        <v>20413.810000000001</v>
      </c>
      <c r="F29" s="2">
        <v>21716.959999999999</v>
      </c>
      <c r="G29" s="2">
        <v>21380.85</v>
      </c>
    </row>
    <row r="30" spans="2:7" x14ac:dyDescent="0.25">
      <c r="B30" s="10" t="s">
        <v>94</v>
      </c>
      <c r="C30" s="11">
        <f>C29/Balance_Sheet!C40</f>
        <v>0.10589521220586311</v>
      </c>
      <c r="D30" s="11">
        <f>D29/Balance_Sheet!D40</f>
        <v>0.10265226343077428</v>
      </c>
      <c r="E30" s="11">
        <f>E29/Balance_Sheet!E40</f>
        <v>9.3054162776648283E-2</v>
      </c>
      <c r="F30" s="11">
        <f>F29/Balance_Sheet!F40</f>
        <v>8.8797004652395914E-2</v>
      </c>
      <c r="G30" s="11">
        <f>G29/Balance_Sheet!G40</f>
        <v>8.3456906838393199E-2</v>
      </c>
    </row>
    <row r="31" spans="2:7" ht="18.75" x14ac:dyDescent="0.25">
      <c r="B31" s="5" t="s">
        <v>10</v>
      </c>
      <c r="C31" s="2">
        <v>12153.29</v>
      </c>
      <c r="D31" s="2">
        <v>12451.11</v>
      </c>
      <c r="E31" s="2">
        <v>18092.98</v>
      </c>
      <c r="F31" s="2">
        <v>27266.37</v>
      </c>
      <c r="G31" s="2">
        <v>19431.91</v>
      </c>
    </row>
    <row r="32" spans="2:7" x14ac:dyDescent="0.25">
      <c r="B32" s="10" t="s">
        <v>95</v>
      </c>
      <c r="C32" s="11">
        <f>C31/Balance_Sheet!C40</f>
        <v>6.9353668677587826E-2</v>
      </c>
      <c r="D32" s="11">
        <f>D31/Balance_Sheet!D40</f>
        <v>6.8811401447231746E-2</v>
      </c>
      <c r="E32" s="11">
        <f>E31/Balance_Sheet!E40</f>
        <v>8.2474908213343898E-2</v>
      </c>
      <c r="F32" s="11">
        <f>F31/Balance_Sheet!F40</f>
        <v>0.11148761077719663</v>
      </c>
      <c r="G32" s="11">
        <f>G31/Balance_Sheet!G40</f>
        <v>7.5849514989443409E-2</v>
      </c>
    </row>
    <row r="33" spans="2:7" ht="18.75" x14ac:dyDescent="0.25">
      <c r="B33" s="6" t="s">
        <v>12</v>
      </c>
      <c r="C33" s="4">
        <f>C23+C25+C27+C29+C31</f>
        <v>42982.16</v>
      </c>
      <c r="D33" s="4">
        <f t="shared" ref="D33:G33" si="3">D23+D25+D27+D29+D31</f>
        <v>41531.770000000004</v>
      </c>
      <c r="E33" s="4">
        <f t="shared" si="3"/>
        <v>48706.84</v>
      </c>
      <c r="F33" s="4">
        <f t="shared" si="3"/>
        <v>58688.149999999994</v>
      </c>
      <c r="G33" s="4">
        <f t="shared" si="3"/>
        <v>51705.72</v>
      </c>
    </row>
    <row r="34" spans="2:7" x14ac:dyDescent="0.25">
      <c r="B34" s="12" t="s">
        <v>96</v>
      </c>
      <c r="C34" s="13">
        <f>C33/Balance_Sheet!C40</f>
        <v>0.24528094727329541</v>
      </c>
      <c r="D34" s="13">
        <f>D33/Balance_Sheet!D40</f>
        <v>0.22952646778352262</v>
      </c>
      <c r="E34" s="13">
        <f>E33/Balance_Sheet!E40</f>
        <v>0.22202490459625926</v>
      </c>
      <c r="F34" s="13">
        <f>F33/Balance_Sheet!F40</f>
        <v>0.23996599563615298</v>
      </c>
      <c r="G34" s="13">
        <f>G33/Balance_Sheet!G40</f>
        <v>0.20182543991712418</v>
      </c>
    </row>
    <row r="35" spans="2:7" ht="18.75" x14ac:dyDescent="0.25">
      <c r="B35" s="5" t="s">
        <v>3</v>
      </c>
      <c r="C35" s="2">
        <v>780.94</v>
      </c>
      <c r="D35" s="2">
        <v>1601.7</v>
      </c>
      <c r="E35" s="1">
        <v>936.52</v>
      </c>
      <c r="F35" s="2">
        <v>2364.46</v>
      </c>
      <c r="G35" s="1">
        <v>2586.6</v>
      </c>
    </row>
    <row r="36" spans="2:7" x14ac:dyDescent="0.25">
      <c r="B36" s="10" t="s">
        <v>97</v>
      </c>
      <c r="C36" s="11">
        <f>C35/Balance_Sheet!C40</f>
        <v>4.4564931814410286E-3</v>
      </c>
      <c r="D36" s="11">
        <f>D35/Balance_Sheet!D40</f>
        <v>8.8518390487298797E-3</v>
      </c>
      <c r="E36" s="11">
        <f>E35/Balance_Sheet!E40</f>
        <v>4.2690259448670605E-3</v>
      </c>
      <c r="F36" s="11">
        <f>F35/Balance_Sheet!F40</f>
        <v>9.667880109389345E-3</v>
      </c>
      <c r="G36" s="11">
        <f>G35/Balance_Sheet!G40</f>
        <v>1.0096400995666114E-2</v>
      </c>
    </row>
    <row r="37" spans="2:7" ht="18.75" x14ac:dyDescent="0.25">
      <c r="B37" s="6" t="s">
        <v>62</v>
      </c>
      <c r="C37" s="4">
        <f>C13+C21+C33+C35</f>
        <v>175236.44</v>
      </c>
      <c r="D37" s="4">
        <f t="shared" ref="D37:G37" si="4">D13+D21+D33+D35</f>
        <v>180945.45</v>
      </c>
      <c r="E37" s="4">
        <f t="shared" si="4"/>
        <v>219375.57</v>
      </c>
      <c r="F37" s="4">
        <f t="shared" si="4"/>
        <v>244568.61</v>
      </c>
      <c r="G37" s="4">
        <f t="shared" si="4"/>
        <v>256190.3</v>
      </c>
    </row>
    <row r="38" spans="2:7" x14ac:dyDescent="0.25">
      <c r="B38" s="12" t="s">
        <v>98</v>
      </c>
      <c r="C38" s="13">
        <f>C37/Balance_Sheet!C40</f>
        <v>0.99999999999999989</v>
      </c>
      <c r="D38" s="13">
        <f>D37/Balance_Sheet!D40</f>
        <v>1</v>
      </c>
      <c r="E38" s="13">
        <f>E37/Balance_Sheet!E40</f>
        <v>1</v>
      </c>
      <c r="F38" s="13">
        <f>F37/Balance_Sheet!F40</f>
        <v>1</v>
      </c>
      <c r="G38" s="13">
        <f>G37/Balance_Sheet!G40</f>
        <v>1.0000000000000002</v>
      </c>
    </row>
    <row r="39" spans="2:7" ht="18.75" x14ac:dyDescent="0.25">
      <c r="B39" s="5"/>
      <c r="C39" s="2"/>
      <c r="D39" s="1"/>
      <c r="E39" s="1"/>
      <c r="F39" s="1"/>
      <c r="G39" s="1"/>
    </row>
    <row r="40" spans="2:7" ht="18.75" x14ac:dyDescent="0.25">
      <c r="B40" s="5" t="s">
        <v>13</v>
      </c>
      <c r="C40" s="2">
        <v>66569.240000000005</v>
      </c>
      <c r="D40" s="2">
        <v>86880.59</v>
      </c>
      <c r="E40" s="2">
        <v>90322.78</v>
      </c>
      <c r="F40" s="2">
        <v>118450.97</v>
      </c>
      <c r="G40" s="2">
        <v>128053.75999999999</v>
      </c>
    </row>
    <row r="41" spans="2:7" x14ac:dyDescent="0.25">
      <c r="B41" s="10" t="s">
        <v>99</v>
      </c>
      <c r="C41" s="11">
        <f>C40/Balance_Sheet!C40</f>
        <v>0.3798824034544413</v>
      </c>
      <c r="D41" s="11">
        <f>D40/Balance_Sheet!D40</f>
        <v>0.48014796724648223</v>
      </c>
      <c r="E41" s="11">
        <f>E40/Balance_Sheet!E40</f>
        <v>0.41172670229415242</v>
      </c>
      <c r="F41" s="11">
        <f>F40/Balance_Sheet!F40</f>
        <v>0.48432613653894507</v>
      </c>
      <c r="G41" s="11">
        <f>G40/Balance_Sheet!G40</f>
        <v>0.49983844040933645</v>
      </c>
    </row>
    <row r="42" spans="2:7" ht="18.75" x14ac:dyDescent="0.25">
      <c r="B42" s="5" t="s">
        <v>14</v>
      </c>
      <c r="C42" s="2">
        <v>1562.96</v>
      </c>
      <c r="D42" s="2">
        <v>1631.23</v>
      </c>
      <c r="E42" s="2">
        <v>1682.66</v>
      </c>
      <c r="F42" s="2">
        <v>1994.32</v>
      </c>
      <c r="G42" s="2">
        <v>2442.37</v>
      </c>
    </row>
    <row r="43" spans="2:7" x14ac:dyDescent="0.25">
      <c r="B43" s="10" t="s">
        <v>100</v>
      </c>
      <c r="C43" s="11">
        <f>C42/Balance_Sheet!C40</f>
        <v>8.9191494645748329E-3</v>
      </c>
      <c r="D43" s="11">
        <f>D42/Balance_Sheet!D40</f>
        <v>9.0150374049195493E-3</v>
      </c>
      <c r="E43" s="11">
        <f>E42/Balance_Sheet!E40</f>
        <v>7.6702250847712899E-3</v>
      </c>
      <c r="F43" s="11">
        <f>F42/Balance_Sheet!F40</f>
        <v>8.1544397705003921E-3</v>
      </c>
      <c r="G43" s="11">
        <f>G42/Balance_Sheet!G40</f>
        <v>9.5334210545832548E-3</v>
      </c>
    </row>
    <row r="44" spans="2:7" ht="18.75" x14ac:dyDescent="0.25">
      <c r="B44" s="5" t="s">
        <v>63</v>
      </c>
      <c r="C44" s="1"/>
      <c r="D44" s="2">
        <f>Income_Statement!D18</f>
        <v>5672.88</v>
      </c>
      <c r="E44" s="2">
        <f>Income_Statement!E18+D44</f>
        <v>11634.54</v>
      </c>
      <c r="F44" s="2">
        <f>Income_Statement!F18+E44</f>
        <v>18976.370000000003</v>
      </c>
      <c r="G44" s="2">
        <f>Income_Statement!G18+F44</f>
        <v>27417.100000000002</v>
      </c>
    </row>
    <row r="45" spans="2:7" x14ac:dyDescent="0.25">
      <c r="B45" s="10" t="s">
        <v>101</v>
      </c>
      <c r="C45" s="11">
        <f>C44/Balance_Sheet!C40</f>
        <v>0</v>
      </c>
      <c r="D45" s="11">
        <f>D44/Balance_Sheet!D40</f>
        <v>3.135132715412297E-2</v>
      </c>
      <c r="E45" s="11">
        <f>E44/Balance_Sheet!E40</f>
        <v>5.3034802371111793E-2</v>
      </c>
      <c r="F45" s="11">
        <f>F44/Balance_Sheet!F40</f>
        <v>7.759119209942765E-2</v>
      </c>
      <c r="G45" s="11">
        <f>G44/Balance_Sheet!G40</f>
        <v>0.10701849367442877</v>
      </c>
    </row>
    <row r="46" spans="2:7" ht="18.75" x14ac:dyDescent="0.25">
      <c r="B46" s="6" t="s">
        <v>64</v>
      </c>
      <c r="C46" s="4">
        <f>C40+C42-C44</f>
        <v>68132.200000000012</v>
      </c>
      <c r="D46" s="4">
        <f t="shared" ref="D46:G46" si="5">D40+D42-D44</f>
        <v>82838.939999999988</v>
      </c>
      <c r="E46" s="4">
        <f t="shared" si="5"/>
        <v>80370.899999999994</v>
      </c>
      <c r="F46" s="4">
        <f t="shared" si="5"/>
        <v>101468.92000000001</v>
      </c>
      <c r="G46" s="4">
        <f t="shared" si="5"/>
        <v>103079.02999999998</v>
      </c>
    </row>
    <row r="47" spans="2:7" x14ac:dyDescent="0.25">
      <c r="B47" s="12" t="s">
        <v>102</v>
      </c>
      <c r="C47" s="13">
        <f>C46/Balance_Sheet!C40</f>
        <v>0.38880155291901614</v>
      </c>
      <c r="D47" s="13">
        <f>D46/Balance_Sheet!D40</f>
        <v>0.4578116774972788</v>
      </c>
      <c r="E47" s="13">
        <f>E46/Balance_Sheet!E40</f>
        <v>0.3663621250078119</v>
      </c>
      <c r="F47" s="13">
        <f>F46/Balance_Sheet!F40</f>
        <v>0.41488938421001786</v>
      </c>
      <c r="G47" s="13">
        <f>G46/Balance_Sheet!G40</f>
        <v>0.40235336778949093</v>
      </c>
    </row>
    <row r="48" spans="2:7" ht="18.75" x14ac:dyDescent="0.25">
      <c r="B48" s="5" t="s">
        <v>16</v>
      </c>
      <c r="C48" s="2">
        <v>6050.16</v>
      </c>
      <c r="D48" s="2">
        <v>6783.99</v>
      </c>
      <c r="E48" s="2">
        <v>2990.5</v>
      </c>
      <c r="F48" s="2">
        <v>3213.31</v>
      </c>
      <c r="G48" s="2">
        <v>2853.31</v>
      </c>
    </row>
    <row r="49" spans="2:7" x14ac:dyDescent="0.25">
      <c r="B49" s="10" t="s">
        <v>103</v>
      </c>
      <c r="C49" s="11">
        <f>C48/Balance_Sheet!C40</f>
        <v>3.4525695682929868E-2</v>
      </c>
      <c r="D49" s="11">
        <f>D48/Balance_Sheet!D40</f>
        <v>3.7491907091336089E-2</v>
      </c>
      <c r="E49" s="11">
        <f>E48/Balance_Sheet!E40</f>
        <v>1.3631873412340307E-2</v>
      </c>
      <c r="F49" s="11">
        <f>F48/Balance_Sheet!F40</f>
        <v>1.3138685295713133E-2</v>
      </c>
      <c r="G49" s="11">
        <f>G48/Balance_Sheet!G40</f>
        <v>1.1137463049928123E-2</v>
      </c>
    </row>
    <row r="50" spans="2:7" ht="18.75" x14ac:dyDescent="0.25">
      <c r="B50" s="5" t="s">
        <v>20</v>
      </c>
      <c r="C50" s="2">
        <v>4663.55</v>
      </c>
      <c r="D50" s="2">
        <v>5673.13</v>
      </c>
      <c r="E50" s="2">
        <v>14908.97</v>
      </c>
      <c r="F50" s="2">
        <v>2524.86</v>
      </c>
      <c r="G50" s="2">
        <v>3431.87</v>
      </c>
    </row>
    <row r="51" spans="2:7" x14ac:dyDescent="0.25">
      <c r="B51" s="10" t="s">
        <v>104</v>
      </c>
      <c r="C51" s="11">
        <f>C50/Balance_Sheet!C40</f>
        <v>2.6612900832726341E-2</v>
      </c>
      <c r="D51" s="11">
        <f>D50/Balance_Sheet!D40</f>
        <v>3.1352708785990474E-2</v>
      </c>
      <c r="E51" s="11">
        <f>E50/Balance_Sheet!E40</f>
        <v>6.7960940226844763E-2</v>
      </c>
      <c r="F51" s="11">
        <f>F50/Balance_Sheet!F40</f>
        <v>1.0323728789234236E-2</v>
      </c>
      <c r="G51" s="11">
        <f>G50/Balance_Sheet!G40</f>
        <v>1.339578430565092E-2</v>
      </c>
    </row>
    <row r="52" spans="2:7" ht="18.75" x14ac:dyDescent="0.25">
      <c r="B52" s="5" t="s">
        <v>15</v>
      </c>
      <c r="C52" s="2">
        <v>37788.65</v>
      </c>
      <c r="D52" s="2">
        <v>15514.37</v>
      </c>
      <c r="E52" s="2">
        <v>16159.8</v>
      </c>
      <c r="F52" s="2">
        <v>17956.509999999998</v>
      </c>
      <c r="G52" s="2">
        <v>18862.060000000001</v>
      </c>
    </row>
    <row r="53" spans="2:7" x14ac:dyDescent="0.25">
      <c r="B53" s="10" t="s">
        <v>105</v>
      </c>
      <c r="C53" s="11">
        <f>C52/Balance_Sheet!C40</f>
        <v>0.21564378961362143</v>
      </c>
      <c r="D53" s="11">
        <f>D52/Balance_Sheet!D40</f>
        <v>8.574059198504301E-2</v>
      </c>
      <c r="E53" s="11">
        <f>E52/Balance_Sheet!E40</f>
        <v>7.3662714585767231E-2</v>
      </c>
      <c r="F53" s="11">
        <f>F52/Balance_Sheet!F40</f>
        <v>7.3421155723950013E-2</v>
      </c>
      <c r="G53" s="11">
        <f>G52/Balance_Sheet!G40</f>
        <v>7.3625191898366207E-2</v>
      </c>
    </row>
    <row r="54" spans="2:7" ht="18.75" x14ac:dyDescent="0.25">
      <c r="B54" s="6" t="s">
        <v>65</v>
      </c>
      <c r="C54" s="4">
        <f>C46+C48+C50+C52</f>
        <v>116634.56000000003</v>
      </c>
      <c r="D54" s="4">
        <f t="shared" ref="D54:G54" si="6">D46+D48+D50+D52</f>
        <v>110810.43</v>
      </c>
      <c r="E54" s="4">
        <f t="shared" si="6"/>
        <v>114430.17</v>
      </c>
      <c r="F54" s="4">
        <f t="shared" si="6"/>
        <v>125163.6</v>
      </c>
      <c r="G54" s="4">
        <f t="shared" si="6"/>
        <v>128226.26999999997</v>
      </c>
    </row>
    <row r="55" spans="2:7" x14ac:dyDescent="0.25">
      <c r="B55" s="12" t="s">
        <v>106</v>
      </c>
      <c r="C55" s="13">
        <f>C54/Balance_Sheet!C40</f>
        <v>0.66558393904829383</v>
      </c>
      <c r="D55" s="13">
        <f>D54/Balance_Sheet!D40</f>
        <v>0.61239688535964831</v>
      </c>
      <c r="E55" s="13">
        <f>E54/Balance_Sheet!E40</f>
        <v>0.52161765323276421</v>
      </c>
      <c r="F55" s="13">
        <f>F54/Balance_Sheet!F40</f>
        <v>0.5117729540189152</v>
      </c>
      <c r="G55" s="13">
        <f>G54/Balance_Sheet!G40</f>
        <v>0.50051180704343612</v>
      </c>
    </row>
    <row r="56" spans="2:7" ht="18.75" x14ac:dyDescent="0.25">
      <c r="B56" s="5" t="s">
        <v>17</v>
      </c>
      <c r="C56" s="2">
        <v>627.45000000000005</v>
      </c>
      <c r="D56" s="1">
        <v>885.87</v>
      </c>
      <c r="E56" s="2">
        <v>1035.8</v>
      </c>
      <c r="F56" s="1">
        <v>808.95</v>
      </c>
      <c r="G56" s="1">
        <v>1270.33</v>
      </c>
    </row>
    <row r="57" spans="2:7" x14ac:dyDescent="0.25">
      <c r="B57" s="10" t="s">
        <v>107</v>
      </c>
      <c r="C57" s="11">
        <f>C56/Balance_Sheet!C40</f>
        <v>3.5805908862334792E-3</v>
      </c>
      <c r="D57" s="11">
        <f>D56/Balance_Sheet!D40</f>
        <v>4.8957848898659789E-3</v>
      </c>
      <c r="E57" s="11">
        <f>E56/Balance_Sheet!E40</f>
        <v>4.7215831735502719E-3</v>
      </c>
      <c r="F57" s="11">
        <f>F56/Balance_Sheet!F40</f>
        <v>3.3076607827962879E-3</v>
      </c>
      <c r="G57" s="11">
        <f>G56/Balance_Sheet!G40</f>
        <v>4.9585405848699199E-3</v>
      </c>
    </row>
    <row r="58" spans="2:7" ht="18.75" x14ac:dyDescent="0.25">
      <c r="B58" s="5" t="s">
        <v>18</v>
      </c>
      <c r="C58" s="1">
        <v>412.23</v>
      </c>
      <c r="D58" s="1">
        <v>373.06</v>
      </c>
      <c r="E58" s="1">
        <v>717.34</v>
      </c>
      <c r="F58" s="1">
        <v>613.34</v>
      </c>
      <c r="G58" s="1">
        <v>488.71</v>
      </c>
    </row>
    <row r="59" spans="2:7" x14ac:dyDescent="0.25">
      <c r="B59" s="10" t="s">
        <v>108</v>
      </c>
      <c r="C59" s="11">
        <f>C58/Balance_Sheet!C40</f>
        <v>2.3524216766786631E-3</v>
      </c>
      <c r="D59" s="11">
        <f>D58/Balance_Sheet!D40</f>
        <v>2.0617263379653921E-3</v>
      </c>
      <c r="E59" s="11">
        <f>E58/Balance_Sheet!E40</f>
        <v>3.2699174297302113E-3</v>
      </c>
      <c r="F59" s="11">
        <f>F58/Balance_Sheet!F40</f>
        <v>2.5078443222946727E-3</v>
      </c>
      <c r="G59" s="11">
        <f>G58/Balance_Sheet!G40</f>
        <v>1.9076054011412614E-3</v>
      </c>
    </row>
    <row r="60" spans="2:7" ht="18.75" x14ac:dyDescent="0.25">
      <c r="B60" s="5" t="s">
        <v>19</v>
      </c>
      <c r="C60" s="2">
        <v>16433.79</v>
      </c>
      <c r="D60" s="2">
        <v>6564.61</v>
      </c>
      <c r="E60" s="2">
        <v>24417.84</v>
      </c>
      <c r="F60" s="2">
        <v>26872.69</v>
      </c>
      <c r="G60" s="2">
        <v>33026.89</v>
      </c>
    </row>
    <row r="61" spans="2:7" x14ac:dyDescent="0.25">
      <c r="B61" s="10" t="s">
        <v>109</v>
      </c>
      <c r="C61" s="11">
        <f>C60/Balance_Sheet!C40</f>
        <v>9.3780665710853278E-2</v>
      </c>
      <c r="D61" s="11">
        <f>D60/Balance_Sheet!D40</f>
        <v>3.6279497494963259E-2</v>
      </c>
      <c r="E61" s="11">
        <f>E60/Balance_Sheet!E40</f>
        <v>0.11130610395678972</v>
      </c>
      <c r="F61" s="11">
        <f>F60/Balance_Sheet!F40</f>
        <v>0.10987791932905862</v>
      </c>
      <c r="G61" s="11">
        <f>G60/Balance_Sheet!G40</f>
        <v>0.12891545854780609</v>
      </c>
    </row>
    <row r="62" spans="2:7" ht="18.75" x14ac:dyDescent="0.25">
      <c r="B62" s="5" t="s">
        <v>24</v>
      </c>
      <c r="C62" s="1">
        <v>207.42</v>
      </c>
      <c r="D62" s="1">
        <v>224.5</v>
      </c>
      <c r="E62" s="1">
        <v>256.48</v>
      </c>
      <c r="F62" s="1">
        <v>239.7</v>
      </c>
      <c r="G62" s="1">
        <v>215.68</v>
      </c>
    </row>
    <row r="63" spans="2:7" x14ac:dyDescent="0.25">
      <c r="B63" s="10" t="s">
        <v>110</v>
      </c>
      <c r="C63" s="11">
        <f>C62/Balance_Sheet!C40</f>
        <v>1.1836579195514355E-3</v>
      </c>
      <c r="D63" s="11">
        <f>D62/Balance_Sheet!D40</f>
        <v>1.2407054170193281E-3</v>
      </c>
      <c r="E63" s="11">
        <f>E62/Balance_Sheet!E40</f>
        <v>1.1691365633830603E-3</v>
      </c>
      <c r="F63" s="11">
        <f>F62/Balance_Sheet!F40</f>
        <v>9.8009307081558823E-4</v>
      </c>
      <c r="G63" s="11">
        <f>G62/Balance_Sheet!G40</f>
        <v>8.4187418493206049E-4</v>
      </c>
    </row>
    <row r="64" spans="2:7" ht="18.75" x14ac:dyDescent="0.25">
      <c r="B64" s="5" t="s">
        <v>25</v>
      </c>
      <c r="C64" s="2">
        <v>2655.1</v>
      </c>
      <c r="D64" s="2">
        <v>3725.71</v>
      </c>
      <c r="E64" s="2">
        <v>4027.3</v>
      </c>
      <c r="F64" s="2">
        <v>9417.9500000000007</v>
      </c>
      <c r="G64" s="2">
        <v>8076.82</v>
      </c>
    </row>
    <row r="65" spans="2:7" x14ac:dyDescent="0.25">
      <c r="B65" s="10" t="s">
        <v>111</v>
      </c>
      <c r="C65" s="11">
        <f>C64/Balance_Sheet!C40</f>
        <v>1.5151528985637916E-2</v>
      </c>
      <c r="D65" s="11">
        <f>D64/Balance_Sheet!D40</f>
        <v>2.0590238660325527E-2</v>
      </c>
      <c r="E65" s="11">
        <f>E64/Balance_Sheet!E40</f>
        <v>1.8358014978604956E-2</v>
      </c>
      <c r="F65" s="11">
        <f>F64/Balance_Sheet!F40</f>
        <v>3.8508416922351567E-2</v>
      </c>
      <c r="G65" s="11">
        <f>G64/Balance_Sheet!G40</f>
        <v>3.1526642499735559E-2</v>
      </c>
    </row>
    <row r="66" spans="2:7" ht="18.75" x14ac:dyDescent="0.25">
      <c r="B66" s="5" t="s">
        <v>21</v>
      </c>
      <c r="C66" s="2">
        <v>20013.330000000002</v>
      </c>
      <c r="D66" s="2">
        <v>24803.82</v>
      </c>
      <c r="E66" s="2">
        <v>28331.040000000001</v>
      </c>
      <c r="F66" s="2">
        <v>31656.1</v>
      </c>
      <c r="G66" s="2">
        <v>31068.720000000001</v>
      </c>
    </row>
    <row r="67" spans="2:7" x14ac:dyDescent="0.25">
      <c r="B67" s="10" t="s">
        <v>112</v>
      </c>
      <c r="C67" s="11">
        <f>C66/Balance_Sheet!C40</f>
        <v>0.1142075814824816</v>
      </c>
      <c r="D67" s="11">
        <f>D66/Balance_Sheet!D40</f>
        <v>0.1370789925914136</v>
      </c>
      <c r="E67" s="11">
        <f>E66/Balance_Sheet!E40</f>
        <v>0.12914400632668441</v>
      </c>
      <c r="F67" s="11">
        <f>F66/Balance_Sheet!F40</f>
        <v>0.12943648001270483</v>
      </c>
      <c r="G67" s="11">
        <f>G66/Balance_Sheet!G40</f>
        <v>0.12127203879303787</v>
      </c>
    </row>
    <row r="68" spans="2:7" ht="18.75" x14ac:dyDescent="0.25">
      <c r="B68" s="5" t="s">
        <v>22</v>
      </c>
      <c r="C68" s="2">
        <v>12066.22</v>
      </c>
      <c r="D68" s="2">
        <v>11586.82</v>
      </c>
      <c r="E68" s="2">
        <v>12415.52</v>
      </c>
      <c r="F68" s="2">
        <v>11811</v>
      </c>
      <c r="G68" s="2">
        <v>7884.91</v>
      </c>
    </row>
    <row r="69" spans="2:7" x14ac:dyDescent="0.25">
      <c r="B69" s="10" t="s">
        <v>113</v>
      </c>
      <c r="C69" s="11">
        <f>C68/Balance_Sheet!C40</f>
        <v>6.8856797136485987E-2</v>
      </c>
      <c r="D69" s="11">
        <f>D68/Balance_Sheet!D40</f>
        <v>6.4034879020168786E-2</v>
      </c>
      <c r="E69" s="11">
        <f>E68/Balance_Sheet!E40</f>
        <v>5.6594815913184861E-2</v>
      </c>
      <c r="F69" s="11">
        <f>F68/Balance_Sheet!F40</f>
        <v>4.8293196743441444E-2</v>
      </c>
      <c r="G69" s="11">
        <f>G68/Balance_Sheet!G40</f>
        <v>3.0777550906494127E-2</v>
      </c>
    </row>
    <row r="70" spans="2:7" ht="18.75" x14ac:dyDescent="0.25">
      <c r="B70" s="5" t="s">
        <v>23</v>
      </c>
      <c r="C70" s="2">
        <v>6186.34</v>
      </c>
      <c r="D70" s="2">
        <f>CashFlow_Statement!D48+C70</f>
        <v>21970.630000000008</v>
      </c>
      <c r="E70" s="2">
        <f>CashFlow_Statement!E48+D70</f>
        <v>33744.080000000016</v>
      </c>
      <c r="F70" s="2">
        <f>CashFlow_Statement!F48+E70</f>
        <v>37985.279999999984</v>
      </c>
      <c r="G70" s="2">
        <f>CashFlow_Statement!G48+F70</f>
        <v>45931.969999999972</v>
      </c>
    </row>
    <row r="71" spans="2:7" x14ac:dyDescent="0.25">
      <c r="B71" s="10" t="s">
        <v>114</v>
      </c>
      <c r="C71" s="11">
        <f>C70/Balance_Sheet!C40</f>
        <v>3.5302817153783764E-2</v>
      </c>
      <c r="D71" s="11">
        <f>D70/Balance_Sheet!D40</f>
        <v>0.12142129022862971</v>
      </c>
      <c r="E71" s="11">
        <f>E70/Balance_Sheet!E40</f>
        <v>0.15381876842530831</v>
      </c>
      <c r="F71" s="11">
        <f>F70/Balance_Sheet!F40</f>
        <v>0.15531543479762178</v>
      </c>
      <c r="G71" s="11">
        <f>G70/Balance_Sheet!G40</f>
        <v>0.17928848203854705</v>
      </c>
    </row>
    <row r="72" spans="2:7" ht="18.75" x14ac:dyDescent="0.25">
      <c r="B72" s="6" t="s">
        <v>26</v>
      </c>
      <c r="C72" s="4">
        <f>C56+C58+C60+C62+C64+C66+C68+C70</f>
        <v>58601.880000000005</v>
      </c>
      <c r="D72" s="4">
        <f t="shared" ref="D72:G72" si="7">D56+D58+D60+D62+D64+D66+D68+D70</f>
        <v>70135.02</v>
      </c>
      <c r="E72" s="4">
        <f t="shared" si="7"/>
        <v>104945.40000000002</v>
      </c>
      <c r="F72" s="4">
        <f t="shared" si="7"/>
        <v>119405.01</v>
      </c>
      <c r="G72" s="4">
        <f t="shared" si="7"/>
        <v>127964.02999999997</v>
      </c>
    </row>
    <row r="73" spans="2:7" x14ac:dyDescent="0.25">
      <c r="B73" s="12" t="s">
        <v>115</v>
      </c>
      <c r="C73" s="13">
        <f>C72/Balance_Sheet!C40</f>
        <v>0.33441606095170612</v>
      </c>
      <c r="D73" s="13">
        <f>D72/Balance_Sheet!D40</f>
        <v>0.38760311464035158</v>
      </c>
      <c r="E73" s="13">
        <f>E72/Balance_Sheet!E40</f>
        <v>0.47838234676723584</v>
      </c>
      <c r="F73" s="13">
        <f>F72/Balance_Sheet!F40</f>
        <v>0.48822704598108485</v>
      </c>
      <c r="G73" s="13">
        <f>G72/Balance_Sheet!G40</f>
        <v>0.49948819295656394</v>
      </c>
    </row>
    <row r="74" spans="2:7" ht="18.75" x14ac:dyDescent="0.25">
      <c r="B74" s="6" t="s">
        <v>27</v>
      </c>
      <c r="C74" s="4">
        <f>C54+C72</f>
        <v>175236.44000000003</v>
      </c>
      <c r="D74" s="4">
        <f t="shared" ref="D74:G74" si="8">D54+D72</f>
        <v>180945.45</v>
      </c>
      <c r="E74" s="4">
        <f t="shared" si="8"/>
        <v>219375.57</v>
      </c>
      <c r="F74" s="4">
        <f t="shared" si="8"/>
        <v>244568.61</v>
      </c>
      <c r="G74" s="4">
        <f t="shared" si="8"/>
        <v>256190.29999999993</v>
      </c>
    </row>
    <row r="75" spans="2:7" x14ac:dyDescent="0.25">
      <c r="B75" s="12" t="s">
        <v>116</v>
      </c>
      <c r="C75" s="13">
        <f>C74/Balance_Sheet!C40</f>
        <v>1</v>
      </c>
      <c r="D75" s="13">
        <f>D74/Balance_Sheet!D40</f>
        <v>1</v>
      </c>
      <c r="E75" s="13">
        <f>E74/Balance_Sheet!E40</f>
        <v>1</v>
      </c>
      <c r="F75" s="13">
        <f>F74/Balance_Sheet!F40</f>
        <v>1</v>
      </c>
      <c r="G75" s="13">
        <f>G74/Balance_Sheet!G40</f>
        <v>1</v>
      </c>
    </row>
  </sheetData>
  <mergeCells count="1">
    <mergeCell ref="B3:G3"/>
  </mergeCells>
  <hyperlinks>
    <hyperlink ref="F1" location="Index_Data!A1" tooltip="Hi click here To return Index page" display="Index_Data!A1" xr:uid="{11B7B977-ABF1-47C1-ADE1-80FE1A6161DE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1E848-5303-41CA-B6A6-3D973106032F}">
  <sheetPr codeName="Sheet7"/>
  <dimension ref="B1:O61"/>
  <sheetViews>
    <sheetView showGridLines="0" workbookViewId="0">
      <selection activeCell="C56" sqref="C56"/>
    </sheetView>
  </sheetViews>
  <sheetFormatPr defaultRowHeight="15" x14ac:dyDescent="0.25"/>
  <cols>
    <col min="2" max="2" width="57.140625" bestFit="1" customWidth="1"/>
    <col min="3" max="4" width="19.85546875" bestFit="1" customWidth="1"/>
    <col min="5" max="5" width="18.85546875" bestFit="1" customWidth="1"/>
    <col min="6" max="6" width="17.140625" bestFit="1" customWidth="1"/>
    <col min="7" max="7" width="18.8554687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7" t="s">
        <v>58</v>
      </c>
      <c r="C3" s="8"/>
      <c r="D3" s="8"/>
      <c r="E3" s="8"/>
      <c r="F3" s="8"/>
      <c r="G3" s="8"/>
    </row>
    <row r="4" spans="2:15" ht="18.75" x14ac:dyDescent="0.25">
      <c r="B4" s="9" t="s">
        <v>57</v>
      </c>
      <c r="C4" s="9">
        <v>2015</v>
      </c>
      <c r="D4" s="9">
        <v>2016</v>
      </c>
      <c r="E4" s="9">
        <v>2017</v>
      </c>
      <c r="F4" s="9">
        <v>2018</v>
      </c>
      <c r="G4" s="9">
        <v>2019</v>
      </c>
    </row>
    <row r="5" spans="2:15" ht="18.75" x14ac:dyDescent="0.25">
      <c r="B5" s="5" t="s">
        <v>40</v>
      </c>
      <c r="C5" s="2">
        <v>105683.18</v>
      </c>
      <c r="D5" s="2">
        <v>116682.57</v>
      </c>
      <c r="E5" s="2">
        <v>131741.49</v>
      </c>
      <c r="F5" s="2">
        <v>154691.84</v>
      </c>
      <c r="G5" s="2">
        <v>136976.76</v>
      </c>
    </row>
    <row r="6" spans="2:15" x14ac:dyDescent="0.25">
      <c r="B6" s="10" t="s">
        <v>117</v>
      </c>
      <c r="C6" s="11">
        <f>C5/C5</f>
        <v>1</v>
      </c>
      <c r="D6" s="11">
        <f t="shared" ref="D6:G6" si="0">D5/D5</f>
        <v>1</v>
      </c>
      <c r="E6" s="11">
        <f t="shared" si="0"/>
        <v>1</v>
      </c>
      <c r="F6" s="11">
        <f t="shared" si="0"/>
        <v>1</v>
      </c>
      <c r="G6" s="11">
        <f t="shared" si="0"/>
        <v>1</v>
      </c>
    </row>
    <row r="7" spans="2:15" ht="18.75" x14ac:dyDescent="0.25">
      <c r="B7" s="5" t="s">
        <v>41</v>
      </c>
      <c r="C7" s="1">
        <v>0</v>
      </c>
      <c r="D7" s="1">
        <v>5120.5200000000004</v>
      </c>
      <c r="E7" s="1">
        <v>860.62</v>
      </c>
      <c r="F7" s="2">
        <v>0.21</v>
      </c>
      <c r="G7" s="1">
        <v>0</v>
      </c>
    </row>
    <row r="8" spans="2:15" x14ac:dyDescent="0.25">
      <c r="B8" s="10" t="s">
        <v>118</v>
      </c>
      <c r="C8" s="11">
        <f>C7/C5</f>
        <v>0</v>
      </c>
      <c r="D8" s="11">
        <f t="shared" ref="D8:G8" si="1">D7/D5</f>
        <v>4.3884189386641043E-2</v>
      </c>
      <c r="E8" s="11">
        <f t="shared" si="1"/>
        <v>6.532642070466943E-3</v>
      </c>
      <c r="F8" s="11">
        <f t="shared" si="1"/>
        <v>1.3575376697309954E-6</v>
      </c>
      <c r="G8" s="11">
        <f t="shared" si="1"/>
        <v>0</v>
      </c>
    </row>
    <row r="9" spans="2:15" ht="18.75" x14ac:dyDescent="0.25">
      <c r="B9" s="6" t="s">
        <v>43</v>
      </c>
      <c r="C9" s="4">
        <f>C5 - C7</f>
        <v>105683.18</v>
      </c>
      <c r="D9" s="4">
        <f t="shared" ref="D9:G9" si="2">D5 - D7</f>
        <v>111562.05</v>
      </c>
      <c r="E9" s="4">
        <f t="shared" si="2"/>
        <v>130880.87</v>
      </c>
      <c r="F9" s="4">
        <f t="shared" si="2"/>
        <v>154691.63</v>
      </c>
      <c r="G9" s="4">
        <f t="shared" si="2"/>
        <v>136976.76</v>
      </c>
    </row>
    <row r="10" spans="2:15" x14ac:dyDescent="0.25">
      <c r="B10" s="12" t="s">
        <v>119</v>
      </c>
      <c r="C10" s="14">
        <f>C9/C5</f>
        <v>1</v>
      </c>
      <c r="D10" s="14">
        <f t="shared" ref="D10:G10" si="3">D9/D5</f>
        <v>0.95611581061335893</v>
      </c>
      <c r="E10" s="14">
        <f t="shared" si="3"/>
        <v>0.99346735792953311</v>
      </c>
      <c r="F10" s="14">
        <f t="shared" si="3"/>
        <v>0.99999864246233028</v>
      </c>
      <c r="G10" s="14">
        <f t="shared" si="3"/>
        <v>1</v>
      </c>
    </row>
    <row r="11" spans="2:15" ht="18.75" x14ac:dyDescent="0.25">
      <c r="B11" s="5" t="s">
        <v>28</v>
      </c>
      <c r="C11" s="2">
        <v>412.22</v>
      </c>
      <c r="D11" s="2">
        <v>527.47</v>
      </c>
      <c r="E11" s="1">
        <v>909.45</v>
      </c>
      <c r="F11" s="1">
        <v>1420.58</v>
      </c>
      <c r="G11" s="1">
        <v>1843.49</v>
      </c>
    </row>
    <row r="12" spans="2:15" x14ac:dyDescent="0.25">
      <c r="B12" s="10" t="s">
        <v>120</v>
      </c>
      <c r="C12" s="11">
        <f>C11/C5</f>
        <v>3.9005260818230493E-3</v>
      </c>
      <c r="D12" s="11">
        <f t="shared" ref="D12:G12" si="4">D11/D5</f>
        <v>4.5205552123166294E-3</v>
      </c>
      <c r="E12" s="11">
        <f t="shared" si="4"/>
        <v>6.9032921974694541E-3</v>
      </c>
      <c r="F12" s="11">
        <f t="shared" si="4"/>
        <v>9.1832898231736081E-3</v>
      </c>
      <c r="G12" s="11">
        <f t="shared" si="4"/>
        <v>1.345841440548017E-2</v>
      </c>
    </row>
    <row r="13" spans="2:15" ht="18.75" x14ac:dyDescent="0.25">
      <c r="B13" s="5" t="s">
        <v>44</v>
      </c>
      <c r="C13" s="1"/>
      <c r="D13" s="1"/>
      <c r="E13" s="1"/>
      <c r="F13" s="1"/>
      <c r="G13" s="1"/>
    </row>
    <row r="14" spans="2:15" x14ac:dyDescent="0.25">
      <c r="B14" s="10" t="s">
        <v>121</v>
      </c>
      <c r="C14" s="11">
        <f>C13/C5</f>
        <v>0</v>
      </c>
      <c r="D14" s="11">
        <f t="shared" ref="D14:G14" si="5">D13/D5</f>
        <v>0</v>
      </c>
      <c r="E14" s="11">
        <f t="shared" si="5"/>
        <v>0</v>
      </c>
      <c r="F14" s="11">
        <f t="shared" si="5"/>
        <v>0</v>
      </c>
      <c r="G14" s="11">
        <f t="shared" si="5"/>
        <v>0</v>
      </c>
    </row>
    <row r="15" spans="2:15" ht="18.75" x14ac:dyDescent="0.25">
      <c r="B15" s="6" t="s">
        <v>45</v>
      </c>
      <c r="C15" s="4">
        <f>SUM(C9:C13)</f>
        <v>106096.40390052607</v>
      </c>
      <c r="D15" s="4">
        <f t="shared" ref="D15:G15" si="6">SUM(D9:D13)</f>
        <v>112090.48063636583</v>
      </c>
      <c r="E15" s="4">
        <f t="shared" si="6"/>
        <v>131791.32037065012</v>
      </c>
      <c r="F15" s="4">
        <f t="shared" si="6"/>
        <v>156113.21918193228</v>
      </c>
      <c r="G15" s="4">
        <f t="shared" si="6"/>
        <v>138821.26345841441</v>
      </c>
    </row>
    <row r="16" spans="2:15" x14ac:dyDescent="0.25">
      <c r="B16" s="12" t="s">
        <v>122</v>
      </c>
      <c r="C16" s="14">
        <f>C15/C5</f>
        <v>1.0039100252332118</v>
      </c>
      <c r="D16" s="14">
        <f t="shared" ref="D16:G16" si="7">D15/D5</f>
        <v>0.960644598729406</v>
      </c>
      <c r="E16" s="14">
        <f t="shared" si="7"/>
        <v>1.0003782435635891</v>
      </c>
      <c r="F16" s="14">
        <f t="shared" si="7"/>
        <v>1.0091884561068785</v>
      </c>
      <c r="G16" s="14">
        <f t="shared" si="7"/>
        <v>1.0134658131672438</v>
      </c>
    </row>
    <row r="17" spans="2:7" ht="18.75" x14ac:dyDescent="0.25">
      <c r="B17" s="5" t="s">
        <v>29</v>
      </c>
      <c r="C17" s="2">
        <v>28114.9</v>
      </c>
      <c r="D17" s="2">
        <v>32418.09</v>
      </c>
      <c r="E17" s="2">
        <v>41205.43</v>
      </c>
      <c r="F17" s="2">
        <v>54309.07</v>
      </c>
      <c r="G17" s="2">
        <v>53244.21</v>
      </c>
    </row>
    <row r="18" spans="2:7" x14ac:dyDescent="0.25">
      <c r="B18" s="10" t="s">
        <v>123</v>
      </c>
      <c r="C18" s="11">
        <f>C17/C5</f>
        <v>0.26603003429684841</v>
      </c>
      <c r="D18" s="11">
        <f t="shared" ref="D18:G18" si="8">D17/D5</f>
        <v>0.27783147045869833</v>
      </c>
      <c r="E18" s="11">
        <f t="shared" si="8"/>
        <v>0.31277488967219064</v>
      </c>
      <c r="F18" s="11">
        <f t="shared" si="8"/>
        <v>0.35107908730027387</v>
      </c>
      <c r="G18" s="11">
        <f t="shared" si="8"/>
        <v>0.38870980741550609</v>
      </c>
    </row>
    <row r="19" spans="2:7" ht="18.75" x14ac:dyDescent="0.25">
      <c r="B19" s="5" t="s">
        <v>30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2:7" x14ac:dyDescent="0.25">
      <c r="B20" s="10" t="s">
        <v>124</v>
      </c>
      <c r="C20" s="11">
        <f>C19/C5</f>
        <v>0</v>
      </c>
      <c r="D20" s="11">
        <f t="shared" ref="D20:G20" si="9">D19/D5</f>
        <v>0</v>
      </c>
      <c r="E20" s="11">
        <f t="shared" si="9"/>
        <v>0</v>
      </c>
      <c r="F20" s="11">
        <f t="shared" si="9"/>
        <v>0</v>
      </c>
      <c r="G20" s="11">
        <f t="shared" si="9"/>
        <v>0</v>
      </c>
    </row>
    <row r="21" spans="2:7" ht="18.75" x14ac:dyDescent="0.25">
      <c r="B21" s="5" t="s">
        <v>31</v>
      </c>
      <c r="C21" s="2">
        <v>17587.63</v>
      </c>
      <c r="D21" s="2">
        <v>17252.22</v>
      </c>
      <c r="E21" s="2">
        <v>17606.189999999999</v>
      </c>
      <c r="F21" s="2">
        <v>18758.87</v>
      </c>
      <c r="G21" s="2">
        <v>18533.580000000002</v>
      </c>
    </row>
    <row r="22" spans="2:7" x14ac:dyDescent="0.25">
      <c r="B22" s="10" t="s">
        <v>125</v>
      </c>
      <c r="C22" s="11">
        <f>C21/C5</f>
        <v>0.16641844047463372</v>
      </c>
      <c r="D22" s="11">
        <f t="shared" ref="D22:G22" si="10">D21/D5</f>
        <v>0.14785601654128805</v>
      </c>
      <c r="E22" s="11">
        <f t="shared" si="10"/>
        <v>0.13364195288819034</v>
      </c>
      <c r="F22" s="11">
        <f t="shared" si="10"/>
        <v>0.12126606031707943</v>
      </c>
      <c r="G22" s="11">
        <f t="shared" si="10"/>
        <v>0.13530455823309007</v>
      </c>
    </row>
    <row r="23" spans="2:7" ht="18.75" x14ac:dyDescent="0.25">
      <c r="B23" s="5" t="s">
        <v>34</v>
      </c>
      <c r="C23" s="2">
        <v>41255.47</v>
      </c>
      <c r="D23" s="2">
        <v>39499.19</v>
      </c>
      <c r="E23" s="2">
        <v>41495.32</v>
      </c>
      <c r="F23" s="2">
        <v>50410.51</v>
      </c>
      <c r="G23" s="2">
        <v>48663.26</v>
      </c>
    </row>
    <row r="24" spans="2:7" x14ac:dyDescent="0.25">
      <c r="B24" s="10" t="s">
        <v>126</v>
      </c>
      <c r="C24" s="11">
        <f>C23/C5</f>
        <v>0.39036930947762932</v>
      </c>
      <c r="D24" s="11">
        <f t="shared" ref="D24:G24" si="11">D23/D5</f>
        <v>0.3385183408284545</v>
      </c>
      <c r="E24" s="11">
        <f t="shared" si="11"/>
        <v>0.31497533540876155</v>
      </c>
      <c r="F24" s="11">
        <f t="shared" si="11"/>
        <v>0.32587698226357642</v>
      </c>
      <c r="G24" s="11">
        <f t="shared" si="11"/>
        <v>0.35526654302525479</v>
      </c>
    </row>
    <row r="25" spans="2:7" ht="18.75" x14ac:dyDescent="0.25">
      <c r="B25" s="6" t="s">
        <v>46</v>
      </c>
      <c r="C25" s="4">
        <f>C17+C19+C21+C23</f>
        <v>86958</v>
      </c>
      <c r="D25" s="4">
        <f t="shared" ref="D25:G25" si="12">D17+D19+D21+D23</f>
        <v>89169.5</v>
      </c>
      <c r="E25" s="4">
        <f t="shared" si="12"/>
        <v>100306.94</v>
      </c>
      <c r="F25" s="4">
        <f t="shared" si="12"/>
        <v>123478.45000000001</v>
      </c>
      <c r="G25" s="4">
        <f t="shared" si="12"/>
        <v>120441.05000000002</v>
      </c>
    </row>
    <row r="26" spans="2:7" x14ac:dyDescent="0.25">
      <c r="B26" s="12" t="s">
        <v>127</v>
      </c>
      <c r="C26" s="14">
        <f>C25/C5</f>
        <v>0.82281778424911145</v>
      </c>
      <c r="D26" s="14">
        <f t="shared" ref="D26:G26" si="13">D25/D5</f>
        <v>0.76420582782844082</v>
      </c>
      <c r="E26" s="14">
        <f t="shared" si="13"/>
        <v>0.76139217796914249</v>
      </c>
      <c r="F26" s="14">
        <f t="shared" si="13"/>
        <v>0.79822212988092978</v>
      </c>
      <c r="G26" s="14">
        <f t="shared" si="13"/>
        <v>0.879280908673851</v>
      </c>
    </row>
    <row r="27" spans="2:7" ht="18.75" x14ac:dyDescent="0.25">
      <c r="B27" s="6" t="s">
        <v>47</v>
      </c>
      <c r="C27" s="4">
        <f xml:space="preserve"> C15-C25-C11</f>
        <v>18726.18390052607</v>
      </c>
      <c r="D27" s="4">
        <f t="shared" ref="D27:G27" si="14" xml:space="preserve"> D15-D25-D11</f>
        <v>22393.510636365827</v>
      </c>
      <c r="E27" s="4">
        <f t="shared" si="14"/>
        <v>30574.93037065012</v>
      </c>
      <c r="F27" s="4">
        <f t="shared" si="14"/>
        <v>31214.189181932263</v>
      </c>
      <c r="G27" s="4">
        <f t="shared" si="14"/>
        <v>16536.723458414392</v>
      </c>
    </row>
    <row r="28" spans="2:7" x14ac:dyDescent="0.25">
      <c r="B28" s="12" t="s">
        <v>128</v>
      </c>
      <c r="C28" s="14">
        <f>C27/C5</f>
        <v>0.17719171490227745</v>
      </c>
      <c r="D28" s="14">
        <f t="shared" ref="D28:G28" si="15">D27/D5</f>
        <v>0.1919182156886485</v>
      </c>
      <c r="E28" s="14">
        <f t="shared" si="15"/>
        <v>0.23208277339697708</v>
      </c>
      <c r="F28" s="14">
        <f t="shared" si="15"/>
        <v>0.20178303640277512</v>
      </c>
      <c r="G28" s="14">
        <f t="shared" si="15"/>
        <v>0.12072649008791266</v>
      </c>
    </row>
    <row r="29" spans="2:7" ht="18.75" x14ac:dyDescent="0.25">
      <c r="B29" s="6" t="s">
        <v>48</v>
      </c>
      <c r="C29" s="4">
        <f xml:space="preserve"> C27+C11</f>
        <v>19138.403900526071</v>
      </c>
      <c r="D29" s="4">
        <f t="shared" ref="D29:G29" si="16" xml:space="preserve"> D27+D11</f>
        <v>22920.980636365828</v>
      </c>
      <c r="E29" s="4">
        <f t="shared" si="16"/>
        <v>31484.38037065012</v>
      </c>
      <c r="F29" s="4">
        <f t="shared" si="16"/>
        <v>32634.769181932264</v>
      </c>
      <c r="G29" s="4">
        <f t="shared" si="16"/>
        <v>18380.213458414393</v>
      </c>
    </row>
    <row r="30" spans="2:7" x14ac:dyDescent="0.25">
      <c r="B30" s="12" t="s">
        <v>129</v>
      </c>
      <c r="C30" s="14">
        <f>C29/C5</f>
        <v>0.18109224098410051</v>
      </c>
      <c r="D30" s="14">
        <f t="shared" ref="D30:G30" si="17">D29/D5</f>
        <v>0.19643877090096512</v>
      </c>
      <c r="E30" s="14">
        <f t="shared" si="17"/>
        <v>0.23898606559444655</v>
      </c>
      <c r="F30" s="14">
        <f t="shared" si="17"/>
        <v>0.21096632622594874</v>
      </c>
      <c r="G30" s="14">
        <f t="shared" si="17"/>
        <v>0.13418490449339285</v>
      </c>
    </row>
    <row r="31" spans="2:7" ht="18.75" x14ac:dyDescent="0.25">
      <c r="B31" s="5" t="s">
        <v>33</v>
      </c>
      <c r="C31" s="2">
        <v>5306.35</v>
      </c>
      <c r="D31" s="2">
        <v>5672.88</v>
      </c>
      <c r="E31" s="2">
        <v>5961.66</v>
      </c>
      <c r="F31" s="2">
        <v>7341.83</v>
      </c>
      <c r="G31" s="2">
        <v>8440.73</v>
      </c>
    </row>
    <row r="32" spans="2:7" x14ac:dyDescent="0.25">
      <c r="B32" s="10" t="s">
        <v>130</v>
      </c>
      <c r="C32" s="11">
        <f>C31/C5</f>
        <v>5.0209976649075103E-2</v>
      </c>
      <c r="D32" s="11">
        <f t="shared" ref="D32:G32" si="18">D31/D5</f>
        <v>4.8618058378385044E-2</v>
      </c>
      <c r="E32" s="11">
        <f t="shared" si="18"/>
        <v>4.5252714236039084E-2</v>
      </c>
      <c r="F32" s="11">
        <f t="shared" si="18"/>
        <v>4.7461003760767215E-2</v>
      </c>
      <c r="G32" s="11">
        <f t="shared" si="18"/>
        <v>6.16216210691507E-2</v>
      </c>
    </row>
    <row r="33" spans="2:7" ht="18.75" x14ac:dyDescent="0.25">
      <c r="B33" s="6" t="s">
        <v>49</v>
      </c>
      <c r="C33" s="4">
        <f xml:space="preserve"> C29-C31</f>
        <v>13832.053900526071</v>
      </c>
      <c r="D33" s="4">
        <f t="shared" ref="D33:G33" si="19" xml:space="preserve"> D29-D31</f>
        <v>17248.100636365827</v>
      </c>
      <c r="E33" s="4">
        <f t="shared" si="19"/>
        <v>25522.72037065012</v>
      </c>
      <c r="F33" s="4">
        <f t="shared" si="19"/>
        <v>25292.939181932263</v>
      </c>
      <c r="G33" s="4">
        <f t="shared" si="19"/>
        <v>9939.4834584143937</v>
      </c>
    </row>
    <row r="34" spans="2:7" x14ac:dyDescent="0.25">
      <c r="B34" s="12" t="s">
        <v>131</v>
      </c>
      <c r="C34" s="14">
        <f>C33/C5</f>
        <v>0.13088226433502542</v>
      </c>
      <c r="D34" s="14">
        <f t="shared" ref="D34:G34" si="20">D33/D5</f>
        <v>0.14782071252258008</v>
      </c>
      <c r="E34" s="14">
        <f t="shared" si="20"/>
        <v>0.19373335135840747</v>
      </c>
      <c r="F34" s="14">
        <f t="shared" si="20"/>
        <v>0.16350532246518151</v>
      </c>
      <c r="G34" s="14">
        <f t="shared" si="20"/>
        <v>7.2563283424242134E-2</v>
      </c>
    </row>
    <row r="35" spans="2:7" ht="18.75" x14ac:dyDescent="0.25">
      <c r="B35" s="5" t="s">
        <v>32</v>
      </c>
      <c r="C35" s="2">
        <v>4221.41</v>
      </c>
      <c r="D35" s="2">
        <v>5072.2</v>
      </c>
      <c r="E35" s="2">
        <v>5501.79</v>
      </c>
      <c r="F35" s="2">
        <v>7660.1</v>
      </c>
      <c r="G35" s="2">
        <v>7533.46</v>
      </c>
    </row>
    <row r="36" spans="2:7" x14ac:dyDescent="0.25">
      <c r="B36" s="10" t="s">
        <v>132</v>
      </c>
      <c r="C36" s="11">
        <f>C35/C5</f>
        <v>3.9944010011810777E-2</v>
      </c>
      <c r="D36" s="11">
        <f t="shared" ref="D36:G36" si="21">D35/D5</f>
        <v>4.3470074407857141E-2</v>
      </c>
      <c r="E36" s="11">
        <f t="shared" si="21"/>
        <v>4.1762014381346378E-2</v>
      </c>
      <c r="F36" s="11">
        <f t="shared" si="21"/>
        <v>4.9518449066220951E-2</v>
      </c>
      <c r="G36" s="11">
        <f t="shared" si="21"/>
        <v>5.4998088726876004E-2</v>
      </c>
    </row>
    <row r="37" spans="2:7" ht="18.75" x14ac:dyDescent="0.25">
      <c r="B37" s="6" t="s">
        <v>50</v>
      </c>
      <c r="C37" s="4">
        <f xml:space="preserve"> C33-C35</f>
        <v>9610.6439005260709</v>
      </c>
      <c r="D37" s="4">
        <f t="shared" ref="D37:G37" si="22" xml:space="preserve"> D33-D35</f>
        <v>12175.900636365826</v>
      </c>
      <c r="E37" s="4">
        <f t="shared" si="22"/>
        <v>20020.93037065012</v>
      </c>
      <c r="F37" s="4">
        <f t="shared" si="22"/>
        <v>17632.839181932264</v>
      </c>
      <c r="G37" s="4">
        <f t="shared" si="22"/>
        <v>2406.0234584143936</v>
      </c>
    </row>
    <row r="38" spans="2:7" x14ac:dyDescent="0.25">
      <c r="B38" s="12" t="s">
        <v>133</v>
      </c>
      <c r="C38" s="14">
        <f>C37/C5</f>
        <v>9.0938254323214646E-2</v>
      </c>
      <c r="D38" s="14">
        <f t="shared" ref="D38:G38" si="23">D37/D5</f>
        <v>0.10435063811472292</v>
      </c>
      <c r="E38" s="14">
        <f t="shared" si="23"/>
        <v>0.15197133697706106</v>
      </c>
      <c r="F38" s="14">
        <f t="shared" si="23"/>
        <v>0.11398687339896058</v>
      </c>
      <c r="G38" s="14">
        <f t="shared" si="23"/>
        <v>1.7565194697366133E-2</v>
      </c>
    </row>
    <row r="39" spans="2:7" ht="18.75" x14ac:dyDescent="0.25">
      <c r="B39" s="5" t="s">
        <v>51</v>
      </c>
      <c r="C39" s="1"/>
      <c r="D39" s="1"/>
      <c r="E39" s="1"/>
      <c r="F39" s="1"/>
      <c r="G39" s="1"/>
    </row>
    <row r="40" spans="2:7" x14ac:dyDescent="0.25">
      <c r="B40" s="10" t="s">
        <v>134</v>
      </c>
      <c r="C40" s="11">
        <f>C39/C5</f>
        <v>0</v>
      </c>
      <c r="D40" s="11">
        <f t="shared" ref="D40:G40" si="24">D39/D5</f>
        <v>0</v>
      </c>
      <c r="E40" s="11">
        <f t="shared" si="24"/>
        <v>0</v>
      </c>
      <c r="F40" s="11">
        <f t="shared" si="24"/>
        <v>0</v>
      </c>
      <c r="G40" s="11">
        <f t="shared" si="24"/>
        <v>0</v>
      </c>
    </row>
    <row r="41" spans="2:7" ht="18.75" x14ac:dyDescent="0.25">
      <c r="B41" s="6" t="s">
        <v>52</v>
      </c>
      <c r="C41" s="4">
        <f xml:space="preserve"> C37+C39</f>
        <v>9610.6439005260709</v>
      </c>
      <c r="D41" s="4">
        <f t="shared" ref="D41:G41" si="25" xml:space="preserve"> D37+D39</f>
        <v>12175.900636365826</v>
      </c>
      <c r="E41" s="4">
        <f t="shared" si="25"/>
        <v>20020.93037065012</v>
      </c>
      <c r="F41" s="4">
        <f t="shared" si="25"/>
        <v>17632.839181932264</v>
      </c>
      <c r="G41" s="4">
        <f t="shared" si="25"/>
        <v>2406.0234584143936</v>
      </c>
    </row>
    <row r="42" spans="2:7" x14ac:dyDescent="0.25">
      <c r="B42" s="12" t="s">
        <v>135</v>
      </c>
      <c r="C42" s="14">
        <f>C41/C5</f>
        <v>9.0938254323214646E-2</v>
      </c>
      <c r="D42" s="14">
        <f t="shared" ref="D42:G42" si="26">D41/D5</f>
        <v>0.10435063811472292</v>
      </c>
      <c r="E42" s="14">
        <f t="shared" si="26"/>
        <v>0.15197133697706106</v>
      </c>
      <c r="F42" s="14">
        <f t="shared" si="26"/>
        <v>0.11398687339896058</v>
      </c>
      <c r="G42" s="14">
        <f t="shared" si="26"/>
        <v>1.7565194697366133E-2</v>
      </c>
    </row>
    <row r="43" spans="2:7" ht="18.75" x14ac:dyDescent="0.25">
      <c r="B43" s="5" t="s">
        <v>35</v>
      </c>
      <c r="C43" s="2">
        <v>3990.38</v>
      </c>
      <c r="D43" s="1">
        <v>-4324.2299999999996</v>
      </c>
      <c r="E43" s="2">
        <v>9599.1200000000008</v>
      </c>
      <c r="F43" s="2">
        <v>-120.97</v>
      </c>
      <c r="G43" s="2">
        <v>-3752.05</v>
      </c>
    </row>
    <row r="44" spans="2:7" x14ac:dyDescent="0.25">
      <c r="B44" s="10" t="s">
        <v>136</v>
      </c>
      <c r="C44" s="11">
        <f>C43/C5</f>
        <v>3.7757947858874048E-2</v>
      </c>
      <c r="D44" s="11">
        <f t="shared" ref="D44:G44" si="27">D43/D5</f>
        <v>-3.7059776794426104E-2</v>
      </c>
      <c r="E44" s="11">
        <f t="shared" si="27"/>
        <v>7.2863302214055736E-2</v>
      </c>
      <c r="F44" s="11">
        <f t="shared" si="27"/>
        <v>-7.8200634241599304E-4</v>
      </c>
      <c r="G44" s="11">
        <f t="shared" si="27"/>
        <v>-2.7391872898731143E-2</v>
      </c>
    </row>
    <row r="45" spans="2:7" ht="18.75" x14ac:dyDescent="0.25">
      <c r="B45" s="6" t="s">
        <v>53</v>
      </c>
      <c r="C45" s="4">
        <f xml:space="preserve"> C41+C43</f>
        <v>13601.02390052607</v>
      </c>
      <c r="D45" s="4">
        <f t="shared" ref="D45:G45" si="28" xml:space="preserve"> D41+D43</f>
        <v>7851.6706363658268</v>
      </c>
      <c r="E45" s="4">
        <f t="shared" si="28"/>
        <v>29620.050370650119</v>
      </c>
      <c r="F45" s="4">
        <f t="shared" si="28"/>
        <v>17511.869181932263</v>
      </c>
      <c r="G45" s="4">
        <f t="shared" si="28"/>
        <v>-1346.0265415856065</v>
      </c>
    </row>
    <row r="46" spans="2:7" x14ac:dyDescent="0.25">
      <c r="B46" s="12" t="s">
        <v>137</v>
      </c>
      <c r="C46" s="14">
        <f>C45/C5</f>
        <v>0.12869620218208869</v>
      </c>
      <c r="D46" s="14">
        <f t="shared" ref="D46:G46" si="29">D45/D5</f>
        <v>6.7290861320296824E-2</v>
      </c>
      <c r="E46" s="14">
        <f t="shared" si="29"/>
        <v>0.22483463919111679</v>
      </c>
      <c r="F46" s="14">
        <f t="shared" si="29"/>
        <v>0.11320486705654458</v>
      </c>
      <c r="G46" s="14">
        <f t="shared" si="29"/>
        <v>-9.8266782013650082E-3</v>
      </c>
    </row>
    <row r="47" spans="2:7" ht="18.75" x14ac:dyDescent="0.25">
      <c r="B47" s="5" t="s">
        <v>36</v>
      </c>
      <c r="C47" s="2">
        <v>689.96</v>
      </c>
      <c r="D47" s="2">
        <v>2778.01</v>
      </c>
      <c r="E47" s="2">
        <v>3405.39</v>
      </c>
      <c r="F47" s="2">
        <v>6718.43</v>
      </c>
      <c r="G47" s="1">
        <v>-2568.41</v>
      </c>
    </row>
    <row r="48" spans="2:7" x14ac:dyDescent="0.25">
      <c r="B48" s="10" t="s">
        <v>138</v>
      </c>
      <c r="C48" s="11">
        <f>C47/C5</f>
        <v>6.5285696361521298E-3</v>
      </c>
      <c r="D48" s="11">
        <f t="shared" ref="D48:G48" si="30">D47/D5</f>
        <v>2.3808268878548013E-2</v>
      </c>
      <c r="E48" s="11">
        <f t="shared" si="30"/>
        <v>2.5849032070306782E-2</v>
      </c>
      <c r="F48" s="11">
        <f t="shared" si="30"/>
        <v>4.3431056221194343E-2</v>
      </c>
      <c r="G48" s="11">
        <f t="shared" si="30"/>
        <v>-1.8750699023688394E-2</v>
      </c>
    </row>
    <row r="49" spans="2:7" ht="18.75" x14ac:dyDescent="0.25">
      <c r="B49" s="6" t="s">
        <v>54</v>
      </c>
      <c r="C49" s="4">
        <f xml:space="preserve"> C45-C47</f>
        <v>12911.063900526071</v>
      </c>
      <c r="D49" s="4">
        <f t="shared" ref="D49:G49" si="31" xml:space="preserve"> D45-D47</f>
        <v>5073.6606363658266</v>
      </c>
      <c r="E49" s="4">
        <f t="shared" si="31"/>
        <v>26214.660370650119</v>
      </c>
      <c r="F49" s="4">
        <f t="shared" si="31"/>
        <v>10793.439181932263</v>
      </c>
      <c r="G49" s="4">
        <f t="shared" si="31"/>
        <v>1222.3834584143933</v>
      </c>
    </row>
    <row r="50" spans="2:7" x14ac:dyDescent="0.25">
      <c r="B50" s="12" t="s">
        <v>139</v>
      </c>
      <c r="C50" s="14">
        <f>C49/C5</f>
        <v>0.12216763254593656</v>
      </c>
      <c r="D50" s="14">
        <f t="shared" ref="D50:G50" si="32">D49/D5</f>
        <v>4.3482592441748812E-2</v>
      </c>
      <c r="E50" s="14">
        <f t="shared" si="32"/>
        <v>0.19898560712081001</v>
      </c>
      <c r="F50" s="14">
        <f t="shared" si="32"/>
        <v>6.9773810835350225E-2</v>
      </c>
      <c r="G50" s="14">
        <f t="shared" si="32"/>
        <v>8.9240208223233877E-3</v>
      </c>
    </row>
    <row r="51" spans="2:7" ht="18.75" x14ac:dyDescent="0.25">
      <c r="B51" s="5" t="s">
        <v>38</v>
      </c>
      <c r="C51" s="2">
        <v>776.97</v>
      </c>
      <c r="D51" s="2">
        <v>1043.07</v>
      </c>
      <c r="E51" s="2">
        <v>1236.18</v>
      </c>
      <c r="F51" s="2">
        <v>1144.76</v>
      </c>
      <c r="G51" s="1">
        <v>1488.13</v>
      </c>
    </row>
    <row r="52" spans="2:7" x14ac:dyDescent="0.25">
      <c r="B52" s="10" t="s">
        <v>140</v>
      </c>
      <c r="C52" s="11">
        <f>C51/C5</f>
        <v>7.3518794570715989E-3</v>
      </c>
      <c r="D52" s="11">
        <f t="shared" ref="D52:G52" si="33">D51/D5</f>
        <v>8.9393814346050132E-3</v>
      </c>
      <c r="E52" s="11">
        <f t="shared" si="33"/>
        <v>9.3833764898210888E-3</v>
      </c>
      <c r="F52" s="11">
        <f t="shared" si="33"/>
        <v>7.4002610609583547E-3</v>
      </c>
      <c r="G52" s="11">
        <f t="shared" si="33"/>
        <v>1.0864105706690682E-2</v>
      </c>
    </row>
    <row r="53" spans="2:7" ht="18.75" x14ac:dyDescent="0.25">
      <c r="B53" s="5" t="s">
        <v>39</v>
      </c>
      <c r="C53" s="1">
        <v>149.30000000000001</v>
      </c>
      <c r="D53" s="1">
        <v>55.65</v>
      </c>
      <c r="E53" s="1">
        <v>95.47</v>
      </c>
      <c r="F53" s="1">
        <v>224.61</v>
      </c>
      <c r="G53" s="1">
        <v>297.39999999999998</v>
      </c>
    </row>
    <row r="54" spans="2:7" x14ac:dyDescent="0.25">
      <c r="B54" s="10" t="s">
        <v>141</v>
      </c>
      <c r="C54" s="11">
        <f>C53/C5</f>
        <v>1.4127129785458767E-3</v>
      </c>
      <c r="D54" s="11">
        <f t="shared" ref="D54:G54" si="34">D53/D5</f>
        <v>4.7693498694792203E-4</v>
      </c>
      <c r="E54" s="11">
        <f t="shared" si="34"/>
        <v>7.2467678936984851E-4</v>
      </c>
      <c r="F54" s="11">
        <f t="shared" si="34"/>
        <v>1.4519835047537091E-3</v>
      </c>
      <c r="G54" s="11">
        <f t="shared" si="34"/>
        <v>2.1711712264182621E-3</v>
      </c>
    </row>
    <row r="55" spans="2:7" ht="18.75" x14ac:dyDescent="0.25">
      <c r="B55" s="6" t="s">
        <v>55</v>
      </c>
      <c r="C55" s="4">
        <f xml:space="preserve"> C49-C51-C53</f>
        <v>11984.793900526072</v>
      </c>
      <c r="D55" s="4">
        <f t="shared" ref="D55:G55" si="35" xml:space="preserve"> D49-D51-D53</f>
        <v>3974.9406363658268</v>
      </c>
      <c r="E55" s="4">
        <f t="shared" si="35"/>
        <v>24883.010370650118</v>
      </c>
      <c r="F55" s="4">
        <f t="shared" si="35"/>
        <v>9424.0691819322619</v>
      </c>
      <c r="G55" s="4">
        <f t="shared" si="35"/>
        <v>-563.14654158560677</v>
      </c>
    </row>
    <row r="56" spans="2:7" x14ac:dyDescent="0.25">
      <c r="B56" s="12" t="s">
        <v>142</v>
      </c>
      <c r="C56" s="14">
        <f>C55/C5</f>
        <v>0.1134030401103191</v>
      </c>
      <c r="D56" s="14">
        <f t="shared" ref="D56:G56" si="36">D55/D5</f>
        <v>3.4066276020195872E-2</v>
      </c>
      <c r="E56" s="14">
        <f t="shared" si="36"/>
        <v>0.18887755384161906</v>
      </c>
      <c r="F56" s="14">
        <f t="shared" si="36"/>
        <v>6.0921566269638155E-2</v>
      </c>
      <c r="G56" s="14">
        <f t="shared" si="36"/>
        <v>-4.1112561107855576E-3</v>
      </c>
    </row>
    <row r="57" spans="2:7" ht="18.75" x14ac:dyDescent="0.25">
      <c r="B57" s="5"/>
      <c r="C57" s="1"/>
      <c r="D57" s="1"/>
      <c r="E57" s="1"/>
      <c r="F57" s="1"/>
      <c r="G57" s="1"/>
    </row>
    <row r="58" spans="2:7" ht="18.75" x14ac:dyDescent="0.25">
      <c r="B58" s="5"/>
      <c r="C58" s="1"/>
      <c r="D58" s="1"/>
      <c r="E58" s="1"/>
      <c r="F58" s="1"/>
      <c r="G58" s="1"/>
    </row>
    <row r="59" spans="2:7" ht="18.75" x14ac:dyDescent="0.25">
      <c r="B59" s="5"/>
      <c r="C59" s="1"/>
      <c r="D59" s="1"/>
      <c r="E59" s="1"/>
      <c r="F59" s="1"/>
      <c r="G59" s="1"/>
    </row>
    <row r="60" spans="2:7" ht="18.75" x14ac:dyDescent="0.25">
      <c r="B60" s="5" t="s">
        <v>37</v>
      </c>
      <c r="C60" s="1">
        <v>-7</v>
      </c>
      <c r="D60" s="1">
        <v>-43</v>
      </c>
      <c r="E60" s="1">
        <v>128</v>
      </c>
      <c r="F60" s="1">
        <v>88</v>
      </c>
      <c r="G60" s="1">
        <v>12</v>
      </c>
    </row>
    <row r="61" spans="2:7" ht="18.75" x14ac:dyDescent="0.25">
      <c r="B61" s="5" t="s">
        <v>56</v>
      </c>
      <c r="C61" s="1">
        <f>C49/C60</f>
        <v>-1844.4377000751531</v>
      </c>
      <c r="D61" s="1">
        <f t="shared" ref="D61:G61" si="37">D49/D60</f>
        <v>-117.99210782246108</v>
      </c>
      <c r="E61" s="1">
        <f t="shared" si="37"/>
        <v>204.80203414570406</v>
      </c>
      <c r="F61" s="1">
        <f t="shared" si="37"/>
        <v>122.65271797650298</v>
      </c>
      <c r="G61" s="1">
        <f t="shared" si="37"/>
        <v>101.86528820119945</v>
      </c>
    </row>
  </sheetData>
  <mergeCells count="1">
    <mergeCell ref="B3:G3"/>
  </mergeCells>
  <hyperlinks>
    <hyperlink ref="F1" location="Index_Data!A1" tooltip="Hi click here To return Index page" display="Index_Data!A1" xr:uid="{FF10C343-A95C-415E-8653-16088855E2F4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23C61-97E3-4DD7-B0A1-04499B7A6AD9}">
  <sheetPr codeName="Sheet8"/>
  <dimension ref="B1:O158"/>
  <sheetViews>
    <sheetView showGridLines="0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4.85546875" bestFit="1" customWidth="1"/>
    <col min="7" max="7" width="15.1406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9.5" thickBot="1" x14ac:dyDescent="0.3">
      <c r="B5" s="16" t="s">
        <v>144</v>
      </c>
      <c r="C5" s="16"/>
      <c r="D5" s="16"/>
      <c r="E5" s="16"/>
      <c r="F5" s="16"/>
      <c r="G5" s="16"/>
    </row>
    <row r="6" spans="2:15" ht="19.5" thickTop="1" x14ac:dyDescent="0.25">
      <c r="B6" s="17" t="str">
        <f>Income_Statement!B27</f>
        <v>Reported Net Profit(PAT)</v>
      </c>
      <c r="C6" s="18">
        <f>Income_Statement!C27</f>
        <v>12910.059999999994</v>
      </c>
      <c r="D6" s="18">
        <f>Income_Statement!D27</f>
        <v>5072.7000000000025</v>
      </c>
      <c r="E6" s="18">
        <f>Income_Statement!E27</f>
        <v>26213.660000000003</v>
      </c>
      <c r="F6" s="18">
        <f>Income_Statement!F27</f>
        <v>10792.429999999978</v>
      </c>
      <c r="G6" s="18">
        <f>Income_Statement!G27</f>
        <v>1221.3699999999826</v>
      </c>
      <c r="I6" s="20"/>
      <c r="J6" s="21"/>
      <c r="K6" s="21"/>
      <c r="L6" s="22"/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  <c r="I7" s="23"/>
      <c r="J7" s="24"/>
      <c r="K7" s="24"/>
      <c r="L7" s="25"/>
    </row>
    <row r="8" spans="2:15" ht="19.5" thickBot="1" x14ac:dyDescent="0.3">
      <c r="B8" s="19" t="s">
        <v>145</v>
      </c>
      <c r="C8" s="19">
        <f>ROUND(C6/C7, 2)</f>
        <v>-7</v>
      </c>
      <c r="D8" s="19">
        <f t="shared" ref="D8:G8" si="0">ROUND(D6/D7, 2)</f>
        <v>-43</v>
      </c>
      <c r="E8" s="19">
        <f t="shared" si="0"/>
        <v>128</v>
      </c>
      <c r="F8" s="19">
        <f t="shared" si="0"/>
        <v>88</v>
      </c>
      <c r="G8" s="19">
        <f t="shared" si="0"/>
        <v>12</v>
      </c>
      <c r="I8" s="26"/>
      <c r="J8" s="27"/>
      <c r="K8" s="27"/>
      <c r="L8" s="28"/>
    </row>
    <row r="9" spans="2:15" ht="15.75" thickTop="1" x14ac:dyDescent="0.25"/>
    <row r="10" spans="2:15" ht="19.5" thickBot="1" x14ac:dyDescent="0.3">
      <c r="B10" s="16" t="s">
        <v>146</v>
      </c>
      <c r="C10" s="16"/>
      <c r="D10" s="16"/>
      <c r="E10" s="16"/>
      <c r="F10" s="16"/>
      <c r="G10" s="16"/>
    </row>
    <row r="11" spans="2:15" ht="19.5" thickTop="1" x14ac:dyDescent="0.25">
      <c r="B11" s="17" t="str">
        <f>Income_Statement!B28</f>
        <v>Equity Share Dividend</v>
      </c>
      <c r="C11" s="18">
        <f>Income_Statement!C28</f>
        <v>776.97</v>
      </c>
      <c r="D11" s="18">
        <f>Income_Statement!D28</f>
        <v>1043.07</v>
      </c>
      <c r="E11" s="18">
        <f>Income_Statement!E28</f>
        <v>1236.18</v>
      </c>
      <c r="F11" s="18">
        <f>Income_Statement!F28</f>
        <v>1144.76</v>
      </c>
      <c r="G11" s="18">
        <f>Income_Statement!G28</f>
        <v>1488.13</v>
      </c>
      <c r="I11" s="20"/>
      <c r="J11" s="21"/>
      <c r="K11" s="21"/>
      <c r="L11" s="22"/>
    </row>
    <row r="12" spans="2:15" ht="18.75" x14ac:dyDescent="0.25">
      <c r="B12" s="17" t="str">
        <f>Income_Statement!B35</f>
        <v>Total Shares Outstanding(cr)</v>
      </c>
      <c r="C12" s="18">
        <f>Income_Statement!C35</f>
        <v>-1844.2942857142848</v>
      </c>
      <c r="D12" s="18">
        <f>Income_Statement!D35</f>
        <v>-117.96976744186053</v>
      </c>
      <c r="E12" s="18">
        <f>Income_Statement!E35</f>
        <v>204.79421875000003</v>
      </c>
      <c r="F12" s="18">
        <f>Income_Statement!F35</f>
        <v>122.64124999999976</v>
      </c>
      <c r="G12" s="18">
        <f>Income_Statement!G35</f>
        <v>101.78083333333188</v>
      </c>
      <c r="I12" s="23"/>
      <c r="J12" s="24"/>
      <c r="K12" s="24"/>
      <c r="L12" s="25"/>
    </row>
    <row r="13" spans="2:15" ht="19.5" thickBot="1" x14ac:dyDescent="0.3">
      <c r="B13" s="19" t="s">
        <v>147</v>
      </c>
      <c r="C13" s="19">
        <f>ROUND(C11/C12, 2)</f>
        <v>-0.42</v>
      </c>
      <c r="D13" s="19">
        <f t="shared" ref="D13:G13" si="1">ROUND(D11/D12, 2)</f>
        <v>-8.84</v>
      </c>
      <c r="E13" s="19">
        <f t="shared" si="1"/>
        <v>6.04</v>
      </c>
      <c r="F13" s="19">
        <f t="shared" si="1"/>
        <v>9.33</v>
      </c>
      <c r="G13" s="19">
        <f t="shared" si="1"/>
        <v>14.62</v>
      </c>
      <c r="I13" s="26"/>
      <c r="J13" s="27"/>
      <c r="K13" s="27"/>
      <c r="L13" s="28"/>
    </row>
    <row r="14" spans="2:15" ht="15.75" thickTop="1" x14ac:dyDescent="0.25"/>
    <row r="15" spans="2:15" ht="19.5" thickBot="1" x14ac:dyDescent="0.3">
      <c r="B15" s="16" t="s">
        <v>148</v>
      </c>
      <c r="C15" s="16"/>
      <c r="D15" s="16"/>
      <c r="E15" s="16"/>
      <c r="F15" s="16"/>
      <c r="G15" s="16"/>
    </row>
    <row r="16" spans="2:15" ht="19.5" thickTop="1" x14ac:dyDescent="0.25">
      <c r="B16" s="17" t="str">
        <f>Balance_Sheet!B9</f>
        <v>Net Worth</v>
      </c>
      <c r="C16" s="18">
        <f>Balance_Sheet!C9</f>
        <v>41457.549999999996</v>
      </c>
      <c r="D16" s="18">
        <f>Balance_Sheet!D9</f>
        <v>45431.53</v>
      </c>
      <c r="E16" s="18">
        <f>Balance_Sheet!E9</f>
        <v>70488.25</v>
      </c>
      <c r="F16" s="18">
        <f>Balance_Sheet!F9</f>
        <v>79911.299999999988</v>
      </c>
      <c r="G16" s="18">
        <f>Balance_Sheet!G9</f>
        <v>79347.149999999965</v>
      </c>
      <c r="I16" s="20"/>
      <c r="J16" s="21"/>
      <c r="K16" s="21"/>
      <c r="L16" s="22"/>
    </row>
    <row r="17" spans="2:12" ht="18.75" x14ac:dyDescent="0.25">
      <c r="B17" s="17" t="str">
        <f>Income_Statement!B35</f>
        <v>Total Shares Outstanding(cr)</v>
      </c>
      <c r="C17" s="18">
        <f>Income_Statement!C35</f>
        <v>-1844.2942857142848</v>
      </c>
      <c r="D17" s="18">
        <f>Income_Statement!D35</f>
        <v>-117.96976744186053</v>
      </c>
      <c r="E17" s="18">
        <f>Income_Statement!E35</f>
        <v>204.79421875000003</v>
      </c>
      <c r="F17" s="18">
        <f>Income_Statement!F35</f>
        <v>122.64124999999976</v>
      </c>
      <c r="G17" s="18">
        <f>Income_Statement!G35</f>
        <v>101.78083333333188</v>
      </c>
      <c r="I17" s="23"/>
      <c r="J17" s="24"/>
      <c r="K17" s="24"/>
      <c r="L17" s="25"/>
    </row>
    <row r="18" spans="2:12" ht="19.5" thickBot="1" x14ac:dyDescent="0.3">
      <c r="B18" s="19" t="s">
        <v>149</v>
      </c>
      <c r="C18" s="19">
        <f>ROUND(C16/C17, 2)</f>
        <v>-22.48</v>
      </c>
      <c r="D18" s="19">
        <f t="shared" ref="D18:G18" si="2">ROUND(D16/D17, 2)</f>
        <v>-385.11</v>
      </c>
      <c r="E18" s="19">
        <f t="shared" si="2"/>
        <v>344.19</v>
      </c>
      <c r="F18" s="19">
        <f t="shared" si="2"/>
        <v>651.59</v>
      </c>
      <c r="G18" s="19">
        <f t="shared" si="2"/>
        <v>779.59</v>
      </c>
      <c r="I18" s="26"/>
      <c r="J18" s="27"/>
      <c r="K18" s="27"/>
      <c r="L18" s="28"/>
    </row>
    <row r="19" spans="2:12" ht="15.75" thickTop="1" x14ac:dyDescent="0.25"/>
    <row r="20" spans="2:12" ht="18.75" x14ac:dyDescent="0.25">
      <c r="B20" s="16" t="s">
        <v>150</v>
      </c>
      <c r="C20" s="16"/>
      <c r="D20" s="16"/>
      <c r="E20" s="16"/>
      <c r="F20" s="16"/>
      <c r="G20" s="16"/>
    </row>
    <row r="21" spans="2:12" ht="18.75" x14ac:dyDescent="0.25">
      <c r="B21" s="17" t="str">
        <f>Income_Statement!B28</f>
        <v>Equity Share Dividend</v>
      </c>
      <c r="C21" s="18">
        <f>Income_Statement!C28</f>
        <v>776.97</v>
      </c>
      <c r="D21" s="18">
        <f>Income_Statement!D28</f>
        <v>1043.07</v>
      </c>
      <c r="E21" s="18">
        <f>Income_Statement!E28</f>
        <v>1236.18</v>
      </c>
      <c r="F21" s="18">
        <f>Income_Statement!F28</f>
        <v>1144.76</v>
      </c>
      <c r="G21" s="18">
        <f>Income_Statement!G28</f>
        <v>1488.13</v>
      </c>
    </row>
    <row r="22" spans="2:12" ht="18.75" x14ac:dyDescent="0.25">
      <c r="B22" s="17" t="str">
        <f>Income_Statement!B35</f>
        <v>Total Shares Outstanding(cr)</v>
      </c>
      <c r="C22" s="18">
        <f>Income_Statement!C35</f>
        <v>-1844.2942857142848</v>
      </c>
      <c r="D22" s="18">
        <f>Income_Statement!D35</f>
        <v>-117.96976744186053</v>
      </c>
      <c r="E22" s="18">
        <f>Income_Statement!E35</f>
        <v>204.79421875000003</v>
      </c>
      <c r="F22" s="18">
        <f>Income_Statement!F35</f>
        <v>122.64124999999976</v>
      </c>
      <c r="G22" s="18">
        <f>Income_Statement!G35</f>
        <v>101.78083333333188</v>
      </c>
    </row>
    <row r="23" spans="2:12" ht="18.75" x14ac:dyDescent="0.25">
      <c r="B23" s="17" t="s">
        <v>147</v>
      </c>
      <c r="C23" s="18">
        <f>ROUND(C21/C22, 2)</f>
        <v>-0.42</v>
      </c>
      <c r="D23" s="18">
        <f t="shared" ref="D23:G23" si="3">ROUND(D21/D22, 2)</f>
        <v>-8.84</v>
      </c>
      <c r="E23" s="18">
        <f t="shared" si="3"/>
        <v>6.04</v>
      </c>
      <c r="F23" s="18">
        <f t="shared" si="3"/>
        <v>9.33</v>
      </c>
      <c r="G23" s="18">
        <f t="shared" si="3"/>
        <v>14.62</v>
      </c>
    </row>
    <row r="24" spans="2:12" ht="19.5" thickBot="1" x14ac:dyDescent="0.3">
      <c r="B24" s="17" t="str">
        <f>Income_Statement!B27</f>
        <v>Reported Net Profit(PAT)</v>
      </c>
      <c r="C24" s="18">
        <f>Income_Statement!C27</f>
        <v>12910.059999999994</v>
      </c>
      <c r="D24" s="18">
        <f>Income_Statement!D27</f>
        <v>5072.7000000000025</v>
      </c>
      <c r="E24" s="18">
        <f>Income_Statement!E27</f>
        <v>26213.660000000003</v>
      </c>
      <c r="F24" s="18">
        <f>Income_Statement!F27</f>
        <v>10792.429999999978</v>
      </c>
      <c r="G24" s="18">
        <f>Income_Statement!G27</f>
        <v>1221.3699999999826</v>
      </c>
    </row>
    <row r="25" spans="2:12" ht="19.5" thickTop="1" x14ac:dyDescent="0.25">
      <c r="B25" s="17" t="str">
        <f>Income_Statement!B35</f>
        <v>Total Shares Outstanding(cr)</v>
      </c>
      <c r="C25" s="18">
        <f>Income_Statement!C35</f>
        <v>-1844.2942857142848</v>
      </c>
      <c r="D25" s="18">
        <f>Income_Statement!D35</f>
        <v>-117.96976744186053</v>
      </c>
      <c r="E25" s="18">
        <f>Income_Statement!E35</f>
        <v>204.79421875000003</v>
      </c>
      <c r="F25" s="18">
        <f>Income_Statement!F35</f>
        <v>122.64124999999976</v>
      </c>
      <c r="G25" s="18">
        <f>Income_Statement!G35</f>
        <v>101.78083333333188</v>
      </c>
      <c r="I25" s="20"/>
      <c r="J25" s="21"/>
      <c r="K25" s="21"/>
      <c r="L25" s="22"/>
    </row>
    <row r="26" spans="2:12" ht="18.75" x14ac:dyDescent="0.25">
      <c r="B26" s="17" t="s">
        <v>145</v>
      </c>
      <c r="C26" s="18">
        <f>C24/C25</f>
        <v>-7</v>
      </c>
      <c r="D26" s="18">
        <f t="shared" ref="D26:G26" si="4">D24/D25</f>
        <v>-43</v>
      </c>
      <c r="E26" s="18">
        <f t="shared" si="4"/>
        <v>128</v>
      </c>
      <c r="F26" s="18">
        <f t="shared" si="4"/>
        <v>88</v>
      </c>
      <c r="G26" s="18">
        <f t="shared" si="4"/>
        <v>12</v>
      </c>
      <c r="I26" s="23"/>
      <c r="J26" s="24"/>
      <c r="K26" s="24"/>
      <c r="L26" s="25"/>
    </row>
    <row r="27" spans="2:12" ht="19.5" thickBot="1" x14ac:dyDescent="0.3">
      <c r="B27" s="19" t="s">
        <v>151</v>
      </c>
      <c r="C27" s="19">
        <f>ROUND(C23/C26, 2)</f>
        <v>0.06</v>
      </c>
      <c r="D27" s="19">
        <f t="shared" ref="D27:G27" si="5">ROUND(D23/D26, 2)</f>
        <v>0.21</v>
      </c>
      <c r="E27" s="19">
        <f t="shared" si="5"/>
        <v>0.05</v>
      </c>
      <c r="F27" s="19">
        <f t="shared" si="5"/>
        <v>0.11</v>
      </c>
      <c r="G27" s="19">
        <f t="shared" si="5"/>
        <v>1.22</v>
      </c>
      <c r="I27" s="26"/>
      <c r="J27" s="27"/>
      <c r="K27" s="27"/>
      <c r="L27" s="28"/>
    </row>
    <row r="28" spans="2:12" ht="15.75" thickTop="1" x14ac:dyDescent="0.25"/>
    <row r="29" spans="2:12" ht="18.75" x14ac:dyDescent="0.25">
      <c r="B29" s="16" t="s">
        <v>152</v>
      </c>
      <c r="C29" s="16"/>
      <c r="D29" s="16"/>
      <c r="E29" s="16"/>
      <c r="F29" s="16"/>
      <c r="G29" s="16"/>
    </row>
    <row r="30" spans="2:12" ht="19.5" thickBot="1" x14ac:dyDescent="0.3">
      <c r="B30" s="17" t="str">
        <f>Income_Statement!B28</f>
        <v>Equity Share Dividend</v>
      </c>
      <c r="C30" s="18">
        <f>Income_Statement!C28</f>
        <v>776.97</v>
      </c>
      <c r="D30" s="18">
        <f>Income_Statement!D28</f>
        <v>1043.07</v>
      </c>
      <c r="E30" s="18">
        <f>Income_Statement!E28</f>
        <v>1236.18</v>
      </c>
      <c r="F30" s="18">
        <f>Income_Statement!F28</f>
        <v>1144.76</v>
      </c>
      <c r="G30" s="18">
        <f>Income_Statement!G28</f>
        <v>1488.13</v>
      </c>
    </row>
    <row r="31" spans="2:12" ht="19.5" thickTop="1" x14ac:dyDescent="0.25">
      <c r="B31" s="17" t="str">
        <f>Income_Statement!B35</f>
        <v>Total Shares Outstanding(cr)</v>
      </c>
      <c r="C31" s="18">
        <f>Income_Statement!C35</f>
        <v>-1844.2942857142848</v>
      </c>
      <c r="D31" s="18">
        <f>Income_Statement!D35</f>
        <v>-117.96976744186053</v>
      </c>
      <c r="E31" s="18">
        <f>Income_Statement!E35</f>
        <v>204.79421875000003</v>
      </c>
      <c r="F31" s="18">
        <f>Income_Statement!F35</f>
        <v>122.64124999999976</v>
      </c>
      <c r="G31" s="18">
        <f>Income_Statement!G35</f>
        <v>101.78083333333188</v>
      </c>
      <c r="I31" s="20"/>
      <c r="J31" s="21"/>
      <c r="K31" s="21"/>
      <c r="L31" s="22"/>
    </row>
    <row r="32" spans="2:12" ht="18.75" x14ac:dyDescent="0.25">
      <c r="B32" s="17" t="s">
        <v>153</v>
      </c>
      <c r="C32" s="18">
        <f>ROUND(C30/C31, 2)</f>
        <v>-0.42</v>
      </c>
      <c r="D32" s="18">
        <f t="shared" ref="D32:G32" si="6">ROUND(D30/D31, 2)</f>
        <v>-8.84</v>
      </c>
      <c r="E32" s="18">
        <f t="shared" si="6"/>
        <v>6.04</v>
      </c>
      <c r="F32" s="18">
        <f t="shared" si="6"/>
        <v>9.33</v>
      </c>
      <c r="G32" s="18">
        <f t="shared" si="6"/>
        <v>14.62</v>
      </c>
      <c r="I32" s="23"/>
      <c r="J32" s="24"/>
      <c r="K32" s="24"/>
      <c r="L32" s="25"/>
    </row>
    <row r="33" spans="2:12" ht="19.5" thickBot="1" x14ac:dyDescent="0.3">
      <c r="B33" s="19" t="s">
        <v>154</v>
      </c>
      <c r="C33" s="29">
        <f>1-C32</f>
        <v>1.42</v>
      </c>
      <c r="D33" s="29">
        <f t="shared" ref="D33:G33" si="7">1-D32</f>
        <v>9.84</v>
      </c>
      <c r="E33" s="29">
        <f t="shared" si="7"/>
        <v>-5.04</v>
      </c>
      <c r="F33" s="29">
        <f t="shared" si="7"/>
        <v>-8.33</v>
      </c>
      <c r="G33" s="29">
        <f t="shared" si="7"/>
        <v>-13.62</v>
      </c>
      <c r="I33" s="26"/>
      <c r="J33" s="27"/>
      <c r="K33" s="27"/>
      <c r="L33" s="28"/>
    </row>
    <row r="34" spans="2:12" ht="15.75" thickTop="1" x14ac:dyDescent="0.25"/>
    <row r="35" spans="2:12" ht="19.5" thickBot="1" x14ac:dyDescent="0.3">
      <c r="B35" s="16" t="s">
        <v>155</v>
      </c>
      <c r="C35" s="16"/>
      <c r="D35" s="16"/>
      <c r="E35" s="16"/>
      <c r="F35" s="16"/>
      <c r="G35" s="16"/>
    </row>
    <row r="36" spans="2:12" ht="19.5" thickTop="1" x14ac:dyDescent="0.25">
      <c r="B36" s="17" t="str">
        <f>Income_Statement!B5</f>
        <v>Gross Sales</v>
      </c>
      <c r="C36" s="18">
        <f>Income_Statement!C5</f>
        <v>105683.18</v>
      </c>
      <c r="D36" s="18">
        <f>Income_Statement!D5</f>
        <v>116682.57</v>
      </c>
      <c r="E36" s="18">
        <f>Income_Statement!E5</f>
        <v>131741.49</v>
      </c>
      <c r="F36" s="18">
        <f>Income_Statement!F5</f>
        <v>154691.84</v>
      </c>
      <c r="G36" s="18">
        <f>Income_Statement!G5</f>
        <v>136976.76</v>
      </c>
      <c r="I36" s="20"/>
      <c r="J36" s="21"/>
      <c r="K36" s="21"/>
      <c r="L36" s="22"/>
    </row>
    <row r="37" spans="2:12" ht="18.75" x14ac:dyDescent="0.25">
      <c r="B37" s="17" t="str">
        <f>Income_Statement!B11</f>
        <v>Cost Of Materials Consumed</v>
      </c>
      <c r="C37" s="18">
        <f>Income_Statement!C11</f>
        <v>28114.9</v>
      </c>
      <c r="D37" s="18">
        <f>Income_Statement!D11</f>
        <v>32418.09</v>
      </c>
      <c r="E37" s="18">
        <f>Income_Statement!E11</f>
        <v>41205.43</v>
      </c>
      <c r="F37" s="18">
        <f>Income_Statement!F11</f>
        <v>54309.07</v>
      </c>
      <c r="G37" s="18">
        <f>Income_Statement!G11</f>
        <v>53244.21</v>
      </c>
      <c r="I37" s="23"/>
      <c r="J37" s="24"/>
      <c r="K37" s="24"/>
      <c r="L37" s="25"/>
    </row>
    <row r="38" spans="2:12" ht="19.5" thickBot="1" x14ac:dyDescent="0.3">
      <c r="B38" s="19" t="s">
        <v>156</v>
      </c>
      <c r="C38" s="30">
        <f>ROUND(C36- C37, 2)</f>
        <v>77568.28</v>
      </c>
      <c r="D38" s="30">
        <f t="shared" ref="D38:G38" si="8">ROUND(D36- D37, 2)</f>
        <v>84264.48</v>
      </c>
      <c r="E38" s="30">
        <f t="shared" si="8"/>
        <v>90536.06</v>
      </c>
      <c r="F38" s="30">
        <f t="shared" si="8"/>
        <v>100382.77</v>
      </c>
      <c r="G38" s="30">
        <f t="shared" si="8"/>
        <v>83732.55</v>
      </c>
      <c r="I38" s="26"/>
      <c r="J38" s="27"/>
      <c r="K38" s="27"/>
      <c r="L38" s="28"/>
    </row>
    <row r="39" spans="2:12" ht="15.75" thickTop="1" x14ac:dyDescent="0.25"/>
    <row r="40" spans="2:12" ht="19.5" thickBot="1" x14ac:dyDescent="0.3">
      <c r="B40" s="16" t="s">
        <v>157</v>
      </c>
      <c r="C40" s="16"/>
      <c r="D40" s="16"/>
      <c r="E40" s="16"/>
      <c r="F40" s="16"/>
      <c r="G40" s="16"/>
    </row>
    <row r="41" spans="2:12" ht="19.5" thickTop="1" x14ac:dyDescent="0.25">
      <c r="B41" s="17" t="str">
        <f>Income_Statement!B5</f>
        <v>Gross Sales</v>
      </c>
      <c r="C41" s="18">
        <f>Income_Statement!C5</f>
        <v>105683.18</v>
      </c>
      <c r="D41" s="18">
        <f>Income_Statement!D5</f>
        <v>116682.57</v>
      </c>
      <c r="E41" s="18">
        <f>Income_Statement!E5</f>
        <v>131741.49</v>
      </c>
      <c r="F41" s="18">
        <f>Income_Statement!F5</f>
        <v>154691.84</v>
      </c>
      <c r="G41" s="18">
        <f>Income_Statement!G5</f>
        <v>136976.76</v>
      </c>
      <c r="I41" s="20"/>
      <c r="J41" s="21"/>
      <c r="K41" s="21"/>
      <c r="L41" s="22"/>
    </row>
    <row r="42" spans="2:12" ht="18.75" x14ac:dyDescent="0.25">
      <c r="B42" s="17" t="str">
        <f>Income_Statement!B15</f>
        <v>Total Expenditure</v>
      </c>
      <c r="C42" s="18">
        <f>Income_Statement!C15</f>
        <v>86958</v>
      </c>
      <c r="D42" s="18">
        <f>Income_Statement!D15</f>
        <v>89169.5</v>
      </c>
      <c r="E42" s="18">
        <f>Income_Statement!E15</f>
        <v>100306.94</v>
      </c>
      <c r="F42" s="18">
        <f>Income_Statement!F15</f>
        <v>123478.45000000001</v>
      </c>
      <c r="G42" s="18">
        <f>Income_Statement!G15</f>
        <v>120441.05000000002</v>
      </c>
      <c r="I42" s="23"/>
      <c r="J42" s="24"/>
      <c r="K42" s="24"/>
      <c r="L42" s="25"/>
    </row>
    <row r="43" spans="2:12" ht="19.5" thickBot="1" x14ac:dyDescent="0.3">
      <c r="B43" s="19" t="s">
        <v>158</v>
      </c>
      <c r="C43" s="30">
        <f>ROUND(C41- C42, 2)</f>
        <v>18725.18</v>
      </c>
      <c r="D43" s="30">
        <f t="shared" ref="D43:G43" si="9">ROUND(D41- D42, 2)</f>
        <v>27513.07</v>
      </c>
      <c r="E43" s="30">
        <f t="shared" si="9"/>
        <v>31434.55</v>
      </c>
      <c r="F43" s="30">
        <f t="shared" si="9"/>
        <v>31213.39</v>
      </c>
      <c r="G43" s="30">
        <f t="shared" si="9"/>
        <v>16535.71</v>
      </c>
      <c r="I43" s="26"/>
      <c r="J43" s="27"/>
      <c r="K43" s="27"/>
      <c r="L43" s="28"/>
    </row>
    <row r="44" spans="2:12" ht="15.75" thickTop="1" x14ac:dyDescent="0.25"/>
    <row r="45" spans="2:12" ht="19.5" thickBot="1" x14ac:dyDescent="0.3">
      <c r="B45" s="16" t="s">
        <v>159</v>
      </c>
      <c r="C45" s="16"/>
      <c r="D45" s="16"/>
      <c r="E45" s="16"/>
      <c r="F45" s="16"/>
      <c r="G45" s="16"/>
    </row>
    <row r="46" spans="2:12" ht="19.5" thickTop="1" x14ac:dyDescent="0.25">
      <c r="B46" s="17" t="str">
        <f>Income_Statement!B27</f>
        <v>Reported Net Profit(PAT)</v>
      </c>
      <c r="C46" s="18">
        <f>Income_Statement!C27</f>
        <v>12910.059999999994</v>
      </c>
      <c r="D46" s="18">
        <f>Income_Statement!D27</f>
        <v>5072.7000000000025</v>
      </c>
      <c r="E46" s="18">
        <f>Income_Statement!E27</f>
        <v>26213.660000000003</v>
      </c>
      <c r="F46" s="18">
        <f>Income_Statement!F27</f>
        <v>10792.429999999978</v>
      </c>
      <c r="G46" s="18">
        <f>Income_Statement!G27</f>
        <v>1221.3699999999826</v>
      </c>
      <c r="I46" s="20"/>
      <c r="J46" s="21"/>
      <c r="K46" s="21"/>
      <c r="L46" s="22"/>
    </row>
    <row r="47" spans="2:12" ht="18.75" x14ac:dyDescent="0.25">
      <c r="B47" s="17" t="str">
        <f>Balance_Sheet!B40</f>
        <v>Total Assets</v>
      </c>
      <c r="C47" s="18">
        <f>Balance_Sheet!C40</f>
        <v>175236.44000000003</v>
      </c>
      <c r="D47" s="18">
        <f>Balance_Sheet!D40</f>
        <v>180945.45</v>
      </c>
      <c r="E47" s="18">
        <f>Balance_Sheet!E40</f>
        <v>219375.57</v>
      </c>
      <c r="F47" s="18">
        <f>Balance_Sheet!F40</f>
        <v>244568.61</v>
      </c>
      <c r="G47" s="18">
        <f>Balance_Sheet!G40</f>
        <v>256190.29999999993</v>
      </c>
      <c r="I47" s="23"/>
      <c r="J47" s="24"/>
      <c r="K47" s="24"/>
      <c r="L47" s="25"/>
    </row>
    <row r="48" spans="2:12" ht="19.5" thickBot="1" x14ac:dyDescent="0.3">
      <c r="B48" s="19" t="s">
        <v>160</v>
      </c>
      <c r="C48" s="29">
        <f>ROUND(C46/ C47, 2)</f>
        <v>7.0000000000000007E-2</v>
      </c>
      <c r="D48" s="29">
        <f t="shared" ref="D48:G48" si="10">ROUND(D46/ D47, 2)</f>
        <v>0.03</v>
      </c>
      <c r="E48" s="29">
        <f t="shared" si="10"/>
        <v>0.12</v>
      </c>
      <c r="F48" s="29">
        <f t="shared" si="10"/>
        <v>0.04</v>
      </c>
      <c r="G48" s="29">
        <f t="shared" si="10"/>
        <v>0</v>
      </c>
      <c r="I48" s="26"/>
      <c r="J48" s="27"/>
      <c r="K48" s="27"/>
      <c r="L48" s="28"/>
    </row>
    <row r="49" spans="2:12" ht="15.75" thickTop="1" x14ac:dyDescent="0.25"/>
    <row r="50" spans="2:12" ht="18.75" x14ac:dyDescent="0.25">
      <c r="B50" s="16" t="s">
        <v>161</v>
      </c>
      <c r="C50" s="16"/>
      <c r="D50" s="16"/>
      <c r="E50" s="16"/>
      <c r="F50" s="16"/>
      <c r="G50" s="16"/>
    </row>
    <row r="51" spans="2:12" ht="19.5" thickBot="1" x14ac:dyDescent="0.3">
      <c r="B51" s="17" t="str">
        <f>Income_Statement!B19</f>
        <v>PBIT</v>
      </c>
      <c r="C51" s="18">
        <f>Income_Statement!C19</f>
        <v>13831.049999999994</v>
      </c>
      <c r="D51" s="18">
        <f>Income_Statement!D19</f>
        <v>17247.140000000003</v>
      </c>
      <c r="E51" s="18">
        <f>Income_Statement!E19</f>
        <v>25521.720000000005</v>
      </c>
      <c r="F51" s="18">
        <f>Income_Statement!F19</f>
        <v>25291.929999999978</v>
      </c>
      <c r="G51" s="18">
        <f>Income_Statement!G19</f>
        <v>9938.469999999983</v>
      </c>
    </row>
    <row r="52" spans="2:12" ht="19.5" thickTop="1" x14ac:dyDescent="0.25">
      <c r="B52" s="17" t="str">
        <f>Balance_Sheet!B13</f>
        <v>Total Debt</v>
      </c>
      <c r="C52" s="18">
        <f>Balance_Sheet!C13</f>
        <v>90015.79</v>
      </c>
      <c r="D52" s="18">
        <f>Balance_Sheet!D13</f>
        <v>92380.449999999983</v>
      </c>
      <c r="E52" s="18">
        <f>Balance_Sheet!E13</f>
        <v>99243.96</v>
      </c>
      <c r="F52" s="18">
        <f>Balance_Sheet!F13</f>
        <v>103604.7</v>
      </c>
      <c r="G52" s="18">
        <f>Balance_Sheet!G13</f>
        <v>122550.83</v>
      </c>
      <c r="I52" s="20"/>
      <c r="J52" s="21"/>
      <c r="K52" s="21"/>
      <c r="L52" s="22"/>
    </row>
    <row r="53" spans="2:12" ht="18.75" x14ac:dyDescent="0.25">
      <c r="B53" s="17" t="str">
        <f>Balance_Sheet!B9</f>
        <v>Net Worth</v>
      </c>
      <c r="C53" s="18">
        <f>Balance_Sheet!C9</f>
        <v>41457.549999999996</v>
      </c>
      <c r="D53" s="18">
        <f>Balance_Sheet!D9</f>
        <v>45431.53</v>
      </c>
      <c r="E53" s="18">
        <f>Balance_Sheet!E9</f>
        <v>70488.25</v>
      </c>
      <c r="F53" s="18">
        <f>Balance_Sheet!F9</f>
        <v>79911.299999999988</v>
      </c>
      <c r="G53" s="18">
        <f>Balance_Sheet!G9</f>
        <v>79347.149999999965</v>
      </c>
      <c r="I53" s="23"/>
      <c r="J53" s="24"/>
      <c r="K53" s="24"/>
      <c r="L53" s="25"/>
    </row>
    <row r="54" spans="2:12" ht="19.5" thickBot="1" x14ac:dyDescent="0.3">
      <c r="B54" s="19" t="s">
        <v>162</v>
      </c>
      <c r="C54" s="29">
        <f>ROUND(C51/ (C52+ C52), 2)</f>
        <v>0.08</v>
      </c>
      <c r="D54" s="29">
        <f t="shared" ref="D54:G54" si="11">ROUND(D51/ (D52+ D52), 2)</f>
        <v>0.09</v>
      </c>
      <c r="E54" s="29">
        <f t="shared" si="11"/>
        <v>0.13</v>
      </c>
      <c r="F54" s="29">
        <f t="shared" si="11"/>
        <v>0.12</v>
      </c>
      <c r="G54" s="29">
        <f t="shared" si="11"/>
        <v>0.04</v>
      </c>
      <c r="I54" s="26"/>
      <c r="J54" s="27"/>
      <c r="K54" s="27"/>
      <c r="L54" s="28"/>
    </row>
    <row r="55" spans="2:12" ht="15.75" thickTop="1" x14ac:dyDescent="0.25"/>
    <row r="56" spans="2:12" ht="19.5" thickBot="1" x14ac:dyDescent="0.3">
      <c r="B56" s="16" t="s">
        <v>163</v>
      </c>
      <c r="C56" s="16"/>
      <c r="D56" s="16"/>
      <c r="E56" s="16"/>
      <c r="F56" s="16"/>
      <c r="G56" s="16"/>
    </row>
    <row r="57" spans="2:12" ht="19.5" thickTop="1" x14ac:dyDescent="0.25">
      <c r="B57" s="17" t="str">
        <f>Income_Statement!B27</f>
        <v>Reported Net Profit(PAT)</v>
      </c>
      <c r="C57" s="18">
        <f>Income_Statement!C27</f>
        <v>12910.059999999994</v>
      </c>
      <c r="D57" s="18">
        <f>Income_Statement!D27</f>
        <v>5072.7000000000025</v>
      </c>
      <c r="E57" s="18">
        <f>Income_Statement!E27</f>
        <v>26213.660000000003</v>
      </c>
      <c r="F57" s="18">
        <f>Income_Statement!F27</f>
        <v>10792.429999999978</v>
      </c>
      <c r="G57" s="18">
        <f>Income_Statement!G27</f>
        <v>1221.3699999999826</v>
      </c>
      <c r="I57" s="20"/>
      <c r="J57" s="21"/>
      <c r="K57" s="21"/>
      <c r="L57" s="22"/>
    </row>
    <row r="58" spans="2:12" ht="18.75" x14ac:dyDescent="0.25">
      <c r="B58" s="17" t="str">
        <f>Balance_Sheet!B9</f>
        <v>Net Worth</v>
      </c>
      <c r="C58" s="18">
        <f>Balance_Sheet!C9</f>
        <v>41457.549999999996</v>
      </c>
      <c r="D58" s="18">
        <f>Balance_Sheet!D9</f>
        <v>45431.53</v>
      </c>
      <c r="E58" s="18">
        <f>Balance_Sheet!E9</f>
        <v>70488.25</v>
      </c>
      <c r="F58" s="18">
        <f>Balance_Sheet!F9</f>
        <v>79911.299999999988</v>
      </c>
      <c r="G58" s="18">
        <f>Balance_Sheet!G9</f>
        <v>79347.149999999965</v>
      </c>
      <c r="I58" s="23"/>
      <c r="J58" s="24"/>
      <c r="K58" s="24"/>
      <c r="L58" s="25"/>
    </row>
    <row r="59" spans="2:12" ht="19.5" thickBot="1" x14ac:dyDescent="0.3">
      <c r="B59" s="19" t="s">
        <v>164</v>
      </c>
      <c r="C59" s="29">
        <f>ROUND(C57/ (C58+ C58), 2)</f>
        <v>0.16</v>
      </c>
      <c r="D59" s="29">
        <f t="shared" ref="D59:G59" si="12">ROUND(D57/ (D58+ D58), 2)</f>
        <v>0.06</v>
      </c>
      <c r="E59" s="29">
        <f t="shared" si="12"/>
        <v>0.19</v>
      </c>
      <c r="F59" s="29">
        <f t="shared" si="12"/>
        <v>7.0000000000000007E-2</v>
      </c>
      <c r="G59" s="29">
        <f t="shared" si="12"/>
        <v>0.01</v>
      </c>
      <c r="I59" s="26"/>
      <c r="J59" s="27"/>
      <c r="K59" s="27"/>
      <c r="L59" s="28"/>
    </row>
    <row r="60" spans="2:12" ht="15.75" thickTop="1" x14ac:dyDescent="0.25"/>
    <row r="61" spans="2:12" ht="19.5" thickBot="1" x14ac:dyDescent="0.3">
      <c r="B61" s="16" t="s">
        <v>165</v>
      </c>
      <c r="C61" s="16"/>
      <c r="D61" s="16"/>
      <c r="E61" s="16"/>
      <c r="F61" s="16"/>
      <c r="G61" s="16"/>
    </row>
    <row r="62" spans="2:12" ht="19.5" thickTop="1" x14ac:dyDescent="0.25">
      <c r="B62" s="17" t="str">
        <f>Balance_Sheet!B13</f>
        <v>Total Debt</v>
      </c>
      <c r="C62" s="18">
        <f>Balance_Sheet!C13</f>
        <v>90015.79</v>
      </c>
      <c r="D62" s="18">
        <f>Balance_Sheet!D13</f>
        <v>92380.449999999983</v>
      </c>
      <c r="E62" s="18">
        <f>Balance_Sheet!E13</f>
        <v>99243.96</v>
      </c>
      <c r="F62" s="18">
        <f>Balance_Sheet!F13</f>
        <v>103604.7</v>
      </c>
      <c r="G62" s="18">
        <f>Balance_Sheet!G13</f>
        <v>122550.83</v>
      </c>
      <c r="I62" s="20"/>
      <c r="J62" s="21"/>
      <c r="K62" s="21"/>
      <c r="L62" s="22"/>
    </row>
    <row r="63" spans="2:12" ht="18.75" x14ac:dyDescent="0.25">
      <c r="B63" s="17" t="str">
        <f>Balance_Sheet!B9</f>
        <v>Net Worth</v>
      </c>
      <c r="C63" s="18">
        <f>Balance_Sheet!C9</f>
        <v>41457.549999999996</v>
      </c>
      <c r="D63" s="18">
        <f>Balance_Sheet!D9</f>
        <v>45431.53</v>
      </c>
      <c r="E63" s="18">
        <f>Balance_Sheet!E9</f>
        <v>70488.25</v>
      </c>
      <c r="F63" s="18">
        <f>Balance_Sheet!F9</f>
        <v>79911.299999999988</v>
      </c>
      <c r="G63" s="18">
        <f>Balance_Sheet!G9</f>
        <v>79347.149999999965</v>
      </c>
      <c r="I63" s="23"/>
      <c r="J63" s="24"/>
      <c r="K63" s="24"/>
      <c r="L63" s="25"/>
    </row>
    <row r="64" spans="2:12" ht="19.5" thickBot="1" x14ac:dyDescent="0.3">
      <c r="B64" s="19" t="s">
        <v>166</v>
      </c>
      <c r="C64" s="19">
        <f>ROUND(C62/ C63, 2)</f>
        <v>2.17</v>
      </c>
      <c r="D64" s="19">
        <f t="shared" ref="D64:G64" si="13">ROUND(D62/ D63, 2)</f>
        <v>2.0299999999999998</v>
      </c>
      <c r="E64" s="19">
        <f t="shared" si="13"/>
        <v>1.41</v>
      </c>
      <c r="F64" s="19">
        <f t="shared" si="13"/>
        <v>1.3</v>
      </c>
      <c r="G64" s="19">
        <f t="shared" si="13"/>
        <v>1.54</v>
      </c>
      <c r="I64" s="26"/>
      <c r="J64" s="27"/>
      <c r="K64" s="27"/>
      <c r="L64" s="28"/>
    </row>
    <row r="65" spans="2:12" ht="15.75" thickTop="1" x14ac:dyDescent="0.25"/>
    <row r="66" spans="2:12" ht="19.5" thickBot="1" x14ac:dyDescent="0.3">
      <c r="B66" s="16" t="s">
        <v>167</v>
      </c>
      <c r="C66" s="16"/>
      <c r="D66" s="16"/>
      <c r="E66" s="16"/>
      <c r="F66" s="16"/>
      <c r="G66" s="16"/>
    </row>
    <row r="67" spans="2:12" ht="19.5" thickTop="1" x14ac:dyDescent="0.25">
      <c r="B67" s="17" t="str">
        <f>Balance_Sheet!B39</f>
        <v>Total Current Assets</v>
      </c>
      <c r="C67" s="18">
        <f>Balance_Sheet!C39</f>
        <v>58601.880000000005</v>
      </c>
      <c r="D67" s="18">
        <f>Balance_Sheet!D39</f>
        <v>70135.02</v>
      </c>
      <c r="E67" s="18">
        <f>Balance_Sheet!E39</f>
        <v>104945.40000000002</v>
      </c>
      <c r="F67" s="18">
        <f>Balance_Sheet!F39</f>
        <v>119405.01</v>
      </c>
      <c r="G67" s="18">
        <f>Balance_Sheet!G39</f>
        <v>127964.02999999997</v>
      </c>
      <c r="I67" s="20"/>
      <c r="J67" s="21"/>
      <c r="K67" s="21"/>
      <c r="L67" s="22"/>
    </row>
    <row r="68" spans="2:12" ht="18.75" x14ac:dyDescent="0.25">
      <c r="B68" s="17" t="str">
        <f>Balance_Sheet!B19</f>
        <v>Total Current Liabilities</v>
      </c>
      <c r="C68" s="18">
        <f>Balance_Sheet!C19</f>
        <v>42982.16</v>
      </c>
      <c r="D68" s="18">
        <f>Balance_Sheet!D19</f>
        <v>41531.770000000004</v>
      </c>
      <c r="E68" s="18">
        <f>Balance_Sheet!E19</f>
        <v>48706.84</v>
      </c>
      <c r="F68" s="18">
        <f>Balance_Sheet!F19</f>
        <v>58688.149999999994</v>
      </c>
      <c r="G68" s="18">
        <f>Balance_Sheet!G19</f>
        <v>51705.72</v>
      </c>
      <c r="I68" s="23"/>
      <c r="J68" s="24"/>
      <c r="K68" s="24"/>
      <c r="L68" s="25"/>
    </row>
    <row r="69" spans="2:12" ht="19.5" thickBot="1" x14ac:dyDescent="0.3">
      <c r="B69" s="19" t="s">
        <v>168</v>
      </c>
      <c r="C69" s="19">
        <f>ROUND(C67/ C68, 2)</f>
        <v>1.36</v>
      </c>
      <c r="D69" s="19">
        <f t="shared" ref="D69:G69" si="14">ROUND(D67/ D68, 2)</f>
        <v>1.69</v>
      </c>
      <c r="E69" s="19">
        <f t="shared" si="14"/>
        <v>2.15</v>
      </c>
      <c r="F69" s="19">
        <f t="shared" si="14"/>
        <v>2.0299999999999998</v>
      </c>
      <c r="G69" s="19">
        <f t="shared" si="14"/>
        <v>2.4700000000000002</v>
      </c>
      <c r="I69" s="26"/>
      <c r="J69" s="27"/>
      <c r="K69" s="27"/>
      <c r="L69" s="28"/>
    </row>
    <row r="70" spans="2:12" ht="15.75" thickTop="1" x14ac:dyDescent="0.25"/>
    <row r="71" spans="2:12" ht="18.75" x14ac:dyDescent="0.25">
      <c r="B71" s="16" t="s">
        <v>169</v>
      </c>
      <c r="C71" s="16"/>
      <c r="D71" s="16"/>
      <c r="E71" s="16"/>
      <c r="F71" s="16"/>
      <c r="G71" s="16"/>
    </row>
    <row r="72" spans="2:12" ht="19.5" thickBot="1" x14ac:dyDescent="0.3">
      <c r="B72" s="17" t="str">
        <f>Balance_Sheet!B39</f>
        <v>Total Current Assets</v>
      </c>
      <c r="C72" s="18">
        <f>Balance_Sheet!C39</f>
        <v>58601.880000000005</v>
      </c>
      <c r="D72" s="18">
        <f>Balance_Sheet!D39</f>
        <v>70135.02</v>
      </c>
      <c r="E72" s="18">
        <f>Balance_Sheet!E39</f>
        <v>104945.40000000002</v>
      </c>
      <c r="F72" s="18">
        <f>Balance_Sheet!F39</f>
        <v>119405.01</v>
      </c>
      <c r="G72" s="18">
        <f>Balance_Sheet!G39</f>
        <v>127964.02999999997</v>
      </c>
    </row>
    <row r="73" spans="2:12" ht="19.5" thickTop="1" x14ac:dyDescent="0.25">
      <c r="B73" s="17" t="str">
        <f>Balance_Sheet!B36</f>
        <v>Inventories</v>
      </c>
      <c r="C73" s="18">
        <f>Balance_Sheet!C36</f>
        <v>20013.330000000002</v>
      </c>
      <c r="D73" s="18">
        <f>Balance_Sheet!D36</f>
        <v>24803.82</v>
      </c>
      <c r="E73" s="18">
        <f>Balance_Sheet!E36</f>
        <v>28331.040000000001</v>
      </c>
      <c r="F73" s="18">
        <f>Balance_Sheet!F36</f>
        <v>31656.1</v>
      </c>
      <c r="G73" s="18">
        <f>Balance_Sheet!G36</f>
        <v>31068.720000000001</v>
      </c>
      <c r="I73" s="20"/>
      <c r="J73" s="21"/>
      <c r="K73" s="21"/>
      <c r="L73" s="22"/>
    </row>
    <row r="74" spans="2:12" ht="18.75" x14ac:dyDescent="0.25">
      <c r="B74" s="17" t="str">
        <f>Balance_Sheet!B19</f>
        <v>Total Current Liabilities</v>
      </c>
      <c r="C74" s="18">
        <f>Balance_Sheet!C19</f>
        <v>42982.16</v>
      </c>
      <c r="D74" s="18">
        <f>Balance_Sheet!D19</f>
        <v>41531.770000000004</v>
      </c>
      <c r="E74" s="18">
        <f>Balance_Sheet!E19</f>
        <v>48706.84</v>
      </c>
      <c r="F74" s="18">
        <f>Balance_Sheet!F19</f>
        <v>58688.149999999994</v>
      </c>
      <c r="G74" s="18">
        <f>Balance_Sheet!G19</f>
        <v>51705.72</v>
      </c>
      <c r="I74" s="23"/>
      <c r="J74" s="24"/>
      <c r="K74" s="24"/>
      <c r="L74" s="25"/>
    </row>
    <row r="75" spans="2:12" ht="19.5" thickBot="1" x14ac:dyDescent="0.3">
      <c r="B75" s="19" t="s">
        <v>170</v>
      </c>
      <c r="C75" s="19">
        <f>ROUND((C72-C73)/ C74, 2)</f>
        <v>0.9</v>
      </c>
      <c r="D75" s="19">
        <f t="shared" ref="D75:G75" si="15">ROUND((D72-D73)/ D74, 2)</f>
        <v>1.0900000000000001</v>
      </c>
      <c r="E75" s="19">
        <f t="shared" si="15"/>
        <v>1.57</v>
      </c>
      <c r="F75" s="19">
        <f t="shared" si="15"/>
        <v>1.5</v>
      </c>
      <c r="G75" s="19">
        <f t="shared" si="15"/>
        <v>1.87</v>
      </c>
      <c r="I75" s="26"/>
      <c r="J75" s="27"/>
      <c r="K75" s="27"/>
      <c r="L75" s="28"/>
    </row>
    <row r="76" spans="2:12" ht="15.75" thickTop="1" x14ac:dyDescent="0.25"/>
    <row r="77" spans="2:12" ht="19.5" thickBot="1" x14ac:dyDescent="0.3">
      <c r="B77" s="16" t="s">
        <v>171</v>
      </c>
      <c r="C77" s="16"/>
      <c r="D77" s="16"/>
      <c r="E77" s="16"/>
      <c r="F77" s="16"/>
      <c r="G77" s="16"/>
    </row>
    <row r="78" spans="2:12" ht="19.5" thickTop="1" x14ac:dyDescent="0.25">
      <c r="B78" s="17" t="str">
        <f>Income_Statement!B19</f>
        <v>PBIT</v>
      </c>
      <c r="C78" s="18">
        <f>Income_Statement!C19</f>
        <v>13831.049999999994</v>
      </c>
      <c r="D78" s="18">
        <f>Income_Statement!D19</f>
        <v>17247.140000000003</v>
      </c>
      <c r="E78" s="18">
        <f>Income_Statement!E19</f>
        <v>25521.720000000005</v>
      </c>
      <c r="F78" s="18">
        <f>Income_Statement!F19</f>
        <v>25291.929999999978</v>
      </c>
      <c r="G78" s="18">
        <f>Income_Statement!G19</f>
        <v>9938.469999999983</v>
      </c>
      <c r="I78" s="20"/>
      <c r="J78" s="21"/>
      <c r="K78" s="21"/>
      <c r="L78" s="22"/>
    </row>
    <row r="79" spans="2:12" ht="18.75" x14ac:dyDescent="0.25">
      <c r="B79" s="17" t="str">
        <f>Income_Statement!B20</f>
        <v>Finance Costs</v>
      </c>
      <c r="C79" s="18">
        <f>Income_Statement!C20</f>
        <v>4221.41</v>
      </c>
      <c r="D79" s="18">
        <f>Income_Statement!D20</f>
        <v>5072.2</v>
      </c>
      <c r="E79" s="18">
        <f>Income_Statement!E20</f>
        <v>5501.79</v>
      </c>
      <c r="F79" s="18">
        <f>Income_Statement!F20</f>
        <v>7660.1</v>
      </c>
      <c r="G79" s="18">
        <f>Income_Statement!G20</f>
        <v>7533.46</v>
      </c>
      <c r="I79" s="23"/>
      <c r="J79" s="24"/>
      <c r="K79" s="24"/>
      <c r="L79" s="25"/>
    </row>
    <row r="80" spans="2:12" ht="19.5" thickBot="1" x14ac:dyDescent="0.3">
      <c r="B80" s="19" t="s">
        <v>172</v>
      </c>
      <c r="C80" s="19">
        <f>ROUND(C78/C79, 2)</f>
        <v>3.28</v>
      </c>
      <c r="D80" s="19">
        <f t="shared" ref="D80:G80" si="16">ROUND(D78/D79, 2)</f>
        <v>3.4</v>
      </c>
      <c r="E80" s="19">
        <f t="shared" si="16"/>
        <v>4.6399999999999997</v>
      </c>
      <c r="F80" s="19">
        <f t="shared" si="16"/>
        <v>3.3</v>
      </c>
      <c r="G80" s="19">
        <f t="shared" si="16"/>
        <v>1.32</v>
      </c>
      <c r="I80" s="26"/>
      <c r="J80" s="27"/>
      <c r="K80" s="27"/>
      <c r="L80" s="28"/>
    </row>
    <row r="81" spans="2:12" ht="15.75" thickTop="1" x14ac:dyDescent="0.25"/>
    <row r="82" spans="2:12" ht="19.5" thickBot="1" x14ac:dyDescent="0.3">
      <c r="B82" s="16" t="s">
        <v>173</v>
      </c>
      <c r="C82" s="16"/>
      <c r="D82" s="16"/>
      <c r="E82" s="16"/>
      <c r="F82" s="16"/>
      <c r="G82" s="16"/>
    </row>
    <row r="83" spans="2:12" ht="19.5" thickTop="1" x14ac:dyDescent="0.25">
      <c r="B83" s="17" t="str">
        <f>Income_Statement!B11</f>
        <v>Cost Of Materials Consumed</v>
      </c>
      <c r="C83" s="18">
        <f>Income_Statement!C11</f>
        <v>28114.9</v>
      </c>
      <c r="D83" s="18">
        <f>Income_Statement!D11</f>
        <v>32418.09</v>
      </c>
      <c r="E83" s="18">
        <f>Income_Statement!E11</f>
        <v>41205.43</v>
      </c>
      <c r="F83" s="18">
        <f>Income_Statement!F11</f>
        <v>54309.07</v>
      </c>
      <c r="G83" s="18">
        <f>Income_Statement!G11</f>
        <v>53244.21</v>
      </c>
      <c r="I83" s="20"/>
      <c r="J83" s="21"/>
      <c r="K83" s="21"/>
      <c r="L83" s="22"/>
    </row>
    <row r="84" spans="2:12" ht="18.75" x14ac:dyDescent="0.25">
      <c r="B84" s="17" t="str">
        <f>Income_Statement!B7</f>
        <v>Net Sales</v>
      </c>
      <c r="C84" s="18">
        <f>Income_Statement!C7</f>
        <v>105683.18</v>
      </c>
      <c r="D84" s="18">
        <f>Income_Statement!D7</f>
        <v>111562.05</v>
      </c>
      <c r="E84" s="18">
        <f>Income_Statement!E7</f>
        <v>130880.87</v>
      </c>
      <c r="F84" s="18">
        <f>Income_Statement!F7</f>
        <v>154691.63</v>
      </c>
      <c r="G84" s="18">
        <f>Income_Statement!G7</f>
        <v>136976.76</v>
      </c>
      <c r="I84" s="23"/>
      <c r="J84" s="24"/>
      <c r="K84" s="24"/>
      <c r="L84" s="25"/>
    </row>
    <row r="85" spans="2:12" ht="19.5" thickBot="1" x14ac:dyDescent="0.3">
      <c r="B85" s="19" t="s">
        <v>174</v>
      </c>
      <c r="C85" s="19">
        <f>ROUND(C83/C84, 2)</f>
        <v>0.27</v>
      </c>
      <c r="D85" s="19">
        <f t="shared" ref="D85:G85" si="17">ROUND(D83/D84, 2)</f>
        <v>0.28999999999999998</v>
      </c>
      <c r="E85" s="19">
        <f t="shared" si="17"/>
        <v>0.31</v>
      </c>
      <c r="F85" s="19">
        <f t="shared" si="17"/>
        <v>0.35</v>
      </c>
      <c r="G85" s="19">
        <f t="shared" si="17"/>
        <v>0.39</v>
      </c>
      <c r="I85" s="26"/>
      <c r="J85" s="27"/>
      <c r="K85" s="27"/>
      <c r="L85" s="28"/>
    </row>
    <row r="86" spans="2:12" ht="15.75" thickTop="1" x14ac:dyDescent="0.25"/>
    <row r="87" spans="2:12" ht="19.5" thickBot="1" x14ac:dyDescent="0.3">
      <c r="B87" s="16" t="s">
        <v>175</v>
      </c>
      <c r="C87" s="16"/>
      <c r="D87" s="16"/>
      <c r="E87" s="16"/>
      <c r="F87" s="16"/>
      <c r="G87" s="16"/>
    </row>
    <row r="88" spans="2:12" ht="19.5" thickTop="1" x14ac:dyDescent="0.25">
      <c r="B88" s="17" t="str">
        <f>Balance_Sheet!B38</f>
        <v>Cash And Cash Equivalents</v>
      </c>
      <c r="C88" s="18">
        <f>Balance_Sheet!C38</f>
        <v>6186.34</v>
      </c>
      <c r="D88" s="18">
        <f>Balance_Sheet!D38</f>
        <v>21970.630000000008</v>
      </c>
      <c r="E88" s="18">
        <f>Balance_Sheet!E38</f>
        <v>33744.080000000016</v>
      </c>
      <c r="F88" s="18">
        <f>Balance_Sheet!F38</f>
        <v>37985.279999999984</v>
      </c>
      <c r="G88" s="18">
        <f>Balance_Sheet!G38</f>
        <v>45931.969999999972</v>
      </c>
      <c r="I88" s="20"/>
      <c r="J88" s="21"/>
      <c r="K88" s="21"/>
      <c r="L88" s="22"/>
    </row>
    <row r="89" spans="2:12" ht="18.75" x14ac:dyDescent="0.25">
      <c r="B89" s="17" t="str">
        <f>Income_Statement!B11</f>
        <v>Cost Of Materials Consumed</v>
      </c>
      <c r="C89" s="18">
        <f>Income_Statement!C11</f>
        <v>28114.9</v>
      </c>
      <c r="D89" s="18">
        <f>Income_Statement!D11</f>
        <v>32418.09</v>
      </c>
      <c r="E89" s="18">
        <f>Income_Statement!E11</f>
        <v>41205.43</v>
      </c>
      <c r="F89" s="18">
        <f>Income_Statement!F11</f>
        <v>54309.07</v>
      </c>
      <c r="G89" s="18">
        <f>Income_Statement!G11</f>
        <v>53244.21</v>
      </c>
      <c r="I89" s="23"/>
      <c r="J89" s="24"/>
      <c r="K89" s="24"/>
      <c r="L89" s="25"/>
    </row>
    <row r="90" spans="2:12" ht="19.5" thickBot="1" x14ac:dyDescent="0.3">
      <c r="B90" s="19" t="s">
        <v>176</v>
      </c>
      <c r="C90" s="19">
        <f>ROUND(C88/C89*365, 2)</f>
        <v>80.31</v>
      </c>
      <c r="D90" s="19">
        <f t="shared" ref="D90:G90" si="18">ROUND(D88/D89*365, 2)</f>
        <v>247.37</v>
      </c>
      <c r="E90" s="19">
        <f t="shared" si="18"/>
        <v>298.91000000000003</v>
      </c>
      <c r="F90" s="19">
        <f t="shared" si="18"/>
        <v>255.29</v>
      </c>
      <c r="G90" s="19">
        <f t="shared" si="18"/>
        <v>314.87</v>
      </c>
      <c r="I90" s="26"/>
      <c r="J90" s="27"/>
      <c r="K90" s="27"/>
      <c r="L90" s="28"/>
    </row>
    <row r="91" spans="2:12" ht="15.75" thickTop="1" x14ac:dyDescent="0.25"/>
    <row r="92" spans="2:12" ht="19.5" thickBot="1" x14ac:dyDescent="0.3">
      <c r="B92" s="16" t="s">
        <v>177</v>
      </c>
      <c r="C92" s="16"/>
      <c r="D92" s="16"/>
      <c r="E92" s="16"/>
      <c r="F92" s="16"/>
      <c r="G92" s="16"/>
    </row>
    <row r="93" spans="2:12" ht="19.5" thickTop="1" x14ac:dyDescent="0.25">
      <c r="B93" s="17" t="str">
        <f>Balance_Sheet!B38</f>
        <v>Cash And Cash Equivalents</v>
      </c>
      <c r="C93" s="18">
        <f>Balance_Sheet!C38</f>
        <v>6186.34</v>
      </c>
      <c r="D93" s="18">
        <f>Balance_Sheet!D38</f>
        <v>21970.630000000008</v>
      </c>
      <c r="E93" s="18">
        <f>Balance_Sheet!E38</f>
        <v>33744.080000000016</v>
      </c>
      <c r="F93" s="18">
        <f>Balance_Sheet!F38</f>
        <v>37985.279999999984</v>
      </c>
      <c r="G93" s="18">
        <f>Balance_Sheet!G38</f>
        <v>45931.969999999972</v>
      </c>
      <c r="I93" s="20"/>
      <c r="J93" s="21"/>
      <c r="K93" s="21"/>
      <c r="L93" s="22"/>
    </row>
    <row r="94" spans="2:12" ht="18.75" x14ac:dyDescent="0.25">
      <c r="B94" s="17" t="s">
        <v>178</v>
      </c>
      <c r="C94" s="18">
        <v>365</v>
      </c>
      <c r="D94" s="18">
        <v>365</v>
      </c>
      <c r="E94" s="18">
        <v>365</v>
      </c>
      <c r="F94" s="18">
        <v>365</v>
      </c>
      <c r="G94" s="18">
        <v>365</v>
      </c>
      <c r="I94" s="23"/>
      <c r="J94" s="24"/>
      <c r="K94" s="24"/>
      <c r="L94" s="25"/>
    </row>
    <row r="95" spans="2:12" ht="19.5" thickBot="1" x14ac:dyDescent="0.3">
      <c r="B95" s="19" t="s">
        <v>179</v>
      </c>
      <c r="C95" s="19">
        <f>ROUND(C93/C94*365, 2)</f>
        <v>6186.34</v>
      </c>
      <c r="D95" s="19">
        <f t="shared" ref="D95:G95" si="19">ROUND(D93/D94*365, 2)</f>
        <v>21970.63</v>
      </c>
      <c r="E95" s="19">
        <f t="shared" si="19"/>
        <v>33744.080000000002</v>
      </c>
      <c r="F95" s="19">
        <f t="shared" si="19"/>
        <v>37985.279999999999</v>
      </c>
      <c r="G95" s="19">
        <f t="shared" si="19"/>
        <v>45931.97</v>
      </c>
      <c r="I95" s="26"/>
      <c r="J95" s="27"/>
      <c r="K95" s="27"/>
      <c r="L95" s="28"/>
    </row>
    <row r="96" spans="2:12" ht="15.75" thickTop="1" x14ac:dyDescent="0.25"/>
    <row r="97" spans="2:12" ht="19.5" thickBot="1" x14ac:dyDescent="0.3">
      <c r="B97" s="16" t="s">
        <v>180</v>
      </c>
      <c r="C97" s="16"/>
      <c r="D97" s="16"/>
      <c r="E97" s="16"/>
      <c r="F97" s="16"/>
      <c r="G97" s="16"/>
    </row>
    <row r="98" spans="2:12" ht="19.5" thickTop="1" x14ac:dyDescent="0.25">
      <c r="B98" s="17" t="str">
        <f>Income_Statement!B5</f>
        <v>Gross Sales</v>
      </c>
      <c r="C98" s="18">
        <f>Income_Statement!C5</f>
        <v>105683.18</v>
      </c>
      <c r="D98" s="18">
        <f>Income_Statement!D5</f>
        <v>116682.57</v>
      </c>
      <c r="E98" s="18">
        <f>Income_Statement!E5</f>
        <v>131741.49</v>
      </c>
      <c r="F98" s="18">
        <f>Income_Statement!F5</f>
        <v>154691.84</v>
      </c>
      <c r="G98" s="18">
        <f>Income_Statement!G5</f>
        <v>136976.76</v>
      </c>
      <c r="I98" s="20"/>
      <c r="J98" s="21"/>
      <c r="K98" s="21"/>
      <c r="L98" s="22"/>
    </row>
    <row r="99" spans="2:12" ht="18.75" x14ac:dyDescent="0.25">
      <c r="B99" s="17" t="str">
        <f>Balance_Sheet!B40</f>
        <v>Total Assets</v>
      </c>
      <c r="C99" s="18">
        <f>Balance_Sheet!C40</f>
        <v>175236.44000000003</v>
      </c>
      <c r="D99" s="18">
        <f>Balance_Sheet!D40</f>
        <v>180945.45</v>
      </c>
      <c r="E99" s="18">
        <f>Balance_Sheet!E40</f>
        <v>219375.57</v>
      </c>
      <c r="F99" s="18">
        <f>Balance_Sheet!F40</f>
        <v>244568.61</v>
      </c>
      <c r="G99" s="18">
        <f>Balance_Sheet!G40</f>
        <v>256190.29999999993</v>
      </c>
      <c r="I99" s="23"/>
      <c r="J99" s="24"/>
      <c r="K99" s="24"/>
      <c r="L99" s="25"/>
    </row>
    <row r="100" spans="2:12" ht="19.5" thickBot="1" x14ac:dyDescent="0.3">
      <c r="B100" s="19" t="s">
        <v>181</v>
      </c>
      <c r="C100" s="19">
        <f>ROUND(C98/C99, 2)</f>
        <v>0.6</v>
      </c>
      <c r="D100" s="19">
        <f t="shared" ref="D100:G100" si="20">ROUND(D98/D99, 2)</f>
        <v>0.64</v>
      </c>
      <c r="E100" s="19">
        <f t="shared" si="20"/>
        <v>0.6</v>
      </c>
      <c r="F100" s="19">
        <f t="shared" si="20"/>
        <v>0.63</v>
      </c>
      <c r="G100" s="19">
        <f t="shared" si="20"/>
        <v>0.53</v>
      </c>
      <c r="I100" s="26"/>
      <c r="J100" s="27"/>
      <c r="K100" s="27"/>
      <c r="L100" s="28"/>
    </row>
    <row r="101" spans="2:12" ht="15.75" thickTop="1" x14ac:dyDescent="0.25"/>
    <row r="102" spans="2:12" ht="19.5" thickBot="1" x14ac:dyDescent="0.3">
      <c r="B102" s="16" t="s">
        <v>182</v>
      </c>
      <c r="C102" s="16"/>
      <c r="D102" s="16"/>
      <c r="E102" s="16"/>
      <c r="F102" s="16"/>
      <c r="G102" s="16"/>
    </row>
    <row r="103" spans="2:12" ht="19.5" thickTop="1" x14ac:dyDescent="0.25">
      <c r="B103" s="17" t="str">
        <f>Income_Statement!B5</f>
        <v>Gross Sales</v>
      </c>
      <c r="C103" s="18">
        <f>Income_Statement!C5</f>
        <v>105683.18</v>
      </c>
      <c r="D103" s="18">
        <f>Income_Statement!D5</f>
        <v>116682.57</v>
      </c>
      <c r="E103" s="18">
        <f>Income_Statement!E5</f>
        <v>131741.49</v>
      </c>
      <c r="F103" s="18">
        <f>Income_Statement!F5</f>
        <v>154691.84</v>
      </c>
      <c r="G103" s="18">
        <f>Income_Statement!G5</f>
        <v>136976.76</v>
      </c>
      <c r="I103" s="20"/>
      <c r="J103" s="21"/>
      <c r="K103" s="21"/>
      <c r="L103" s="22"/>
    </row>
    <row r="104" spans="2:12" ht="18.75" x14ac:dyDescent="0.25">
      <c r="B104" s="17" t="str">
        <f>Balance_Sheet!B36</f>
        <v>Inventories</v>
      </c>
      <c r="C104" s="18">
        <f>Balance_Sheet!C36</f>
        <v>20013.330000000002</v>
      </c>
      <c r="D104" s="18">
        <f>Balance_Sheet!D36</f>
        <v>24803.82</v>
      </c>
      <c r="E104" s="18">
        <f>Balance_Sheet!E36</f>
        <v>28331.040000000001</v>
      </c>
      <c r="F104" s="18">
        <f>Balance_Sheet!F36</f>
        <v>31656.1</v>
      </c>
      <c r="G104" s="18">
        <f>Balance_Sheet!G36</f>
        <v>31068.720000000001</v>
      </c>
      <c r="I104" s="23"/>
      <c r="J104" s="24"/>
      <c r="K104" s="24"/>
      <c r="L104" s="25"/>
    </row>
    <row r="105" spans="2:12" ht="19.5" thickBot="1" x14ac:dyDescent="0.3">
      <c r="B105" s="19" t="s">
        <v>183</v>
      </c>
      <c r="C105" s="19">
        <f>ROUND(C103/C104, 2)</f>
        <v>5.28</v>
      </c>
      <c r="D105" s="19">
        <f t="shared" ref="D105:G105" si="21">ROUND(D103/D104, 2)</f>
        <v>4.7</v>
      </c>
      <c r="E105" s="19">
        <f t="shared" si="21"/>
        <v>4.6500000000000004</v>
      </c>
      <c r="F105" s="19">
        <f t="shared" si="21"/>
        <v>4.8899999999999997</v>
      </c>
      <c r="G105" s="19">
        <f t="shared" si="21"/>
        <v>4.41</v>
      </c>
      <c r="I105" s="26"/>
      <c r="J105" s="27"/>
      <c r="K105" s="27"/>
      <c r="L105" s="28"/>
    </row>
    <row r="106" spans="2:12" ht="15.75" thickTop="1" x14ac:dyDescent="0.25"/>
    <row r="107" spans="2:12" ht="19.5" thickBot="1" x14ac:dyDescent="0.3">
      <c r="B107" s="16" t="s">
        <v>184</v>
      </c>
      <c r="C107" s="16"/>
      <c r="D107" s="16"/>
      <c r="E107" s="16"/>
      <c r="F107" s="16"/>
      <c r="G107" s="16"/>
    </row>
    <row r="108" spans="2:12" ht="19.5" thickTop="1" x14ac:dyDescent="0.25">
      <c r="B108" s="17" t="str">
        <f>Income_Statement!B5</f>
        <v>Gross Sales</v>
      </c>
      <c r="C108" s="18">
        <f>Income_Statement!C5</f>
        <v>105683.18</v>
      </c>
      <c r="D108" s="18">
        <f>Income_Statement!D5</f>
        <v>116682.57</v>
      </c>
      <c r="E108" s="18">
        <f>Income_Statement!E5</f>
        <v>131741.49</v>
      </c>
      <c r="F108" s="18">
        <f>Income_Statement!F5</f>
        <v>154691.84</v>
      </c>
      <c r="G108" s="18">
        <f>Income_Statement!G5</f>
        <v>136976.76</v>
      </c>
      <c r="I108" s="20"/>
      <c r="J108" s="21"/>
      <c r="K108" s="21"/>
      <c r="L108" s="22"/>
    </row>
    <row r="109" spans="2:12" ht="18.75" x14ac:dyDescent="0.25">
      <c r="B109" s="17" t="str">
        <f>Balance_Sheet!B37</f>
        <v>Trade Receivables</v>
      </c>
      <c r="C109" s="18">
        <f>Balance_Sheet!C37</f>
        <v>12066.22</v>
      </c>
      <c r="D109" s="18">
        <f>Balance_Sheet!D37</f>
        <v>11586.82</v>
      </c>
      <c r="E109" s="18">
        <f>Balance_Sheet!E37</f>
        <v>12415.52</v>
      </c>
      <c r="F109" s="18">
        <f>Balance_Sheet!F37</f>
        <v>11811</v>
      </c>
      <c r="G109" s="18">
        <f>Balance_Sheet!G37</f>
        <v>7884.91</v>
      </c>
      <c r="I109" s="23"/>
      <c r="J109" s="24"/>
      <c r="K109" s="24"/>
      <c r="L109" s="25"/>
    </row>
    <row r="110" spans="2:12" ht="19.5" thickBot="1" x14ac:dyDescent="0.3">
      <c r="B110" s="19" t="s">
        <v>185</v>
      </c>
      <c r="C110" s="19">
        <f>ROUND(C108/C109, 2)</f>
        <v>8.76</v>
      </c>
      <c r="D110" s="19">
        <f t="shared" ref="D110:G110" si="22">ROUND(D108/D109, 2)</f>
        <v>10.07</v>
      </c>
      <c r="E110" s="19">
        <f t="shared" si="22"/>
        <v>10.61</v>
      </c>
      <c r="F110" s="19">
        <f t="shared" si="22"/>
        <v>13.1</v>
      </c>
      <c r="G110" s="19">
        <f t="shared" si="22"/>
        <v>17.37</v>
      </c>
      <c r="I110" s="26"/>
      <c r="J110" s="27"/>
      <c r="K110" s="27"/>
      <c r="L110" s="28"/>
    </row>
    <row r="111" spans="2:12" ht="15.75" thickTop="1" x14ac:dyDescent="0.25"/>
    <row r="112" spans="2:12" ht="19.5" thickBot="1" x14ac:dyDescent="0.3">
      <c r="B112" s="16" t="s">
        <v>186</v>
      </c>
      <c r="C112" s="16"/>
      <c r="D112" s="16"/>
      <c r="E112" s="16"/>
      <c r="F112" s="16"/>
      <c r="G112" s="16"/>
    </row>
    <row r="113" spans="2:12" ht="19.5" thickTop="1" x14ac:dyDescent="0.25">
      <c r="B113" s="17" t="str">
        <f>Income_Statement!B5</f>
        <v>Gross Sales</v>
      </c>
      <c r="C113" s="18">
        <f>Income_Statement!C5</f>
        <v>105683.18</v>
      </c>
      <c r="D113" s="18">
        <f>Income_Statement!D5</f>
        <v>116682.57</v>
      </c>
      <c r="E113" s="18">
        <f>Income_Statement!E5</f>
        <v>131741.49</v>
      </c>
      <c r="F113" s="18">
        <f>Income_Statement!F5</f>
        <v>154691.84</v>
      </c>
      <c r="G113" s="18">
        <f>Income_Statement!G5</f>
        <v>136976.76</v>
      </c>
      <c r="I113" s="20"/>
      <c r="J113" s="21"/>
      <c r="K113" s="21"/>
      <c r="L113" s="22"/>
    </row>
    <row r="114" spans="2:12" ht="18.75" x14ac:dyDescent="0.25">
      <c r="B114" s="17" t="str">
        <f>Balance_Sheet!B23</f>
        <v>Tangible Assets</v>
      </c>
      <c r="C114" s="18">
        <f>Balance_Sheet!C23</f>
        <v>66569.240000000005</v>
      </c>
      <c r="D114" s="18">
        <f>Balance_Sheet!D23</f>
        <v>86880.59</v>
      </c>
      <c r="E114" s="18">
        <f>Balance_Sheet!E23</f>
        <v>90322.78</v>
      </c>
      <c r="F114" s="18">
        <f>Balance_Sheet!F23</f>
        <v>118450.97</v>
      </c>
      <c r="G114" s="18">
        <f>Balance_Sheet!G23</f>
        <v>128053.75999999999</v>
      </c>
      <c r="I114" s="23"/>
      <c r="J114" s="24"/>
      <c r="K114" s="24"/>
      <c r="L114" s="25"/>
    </row>
    <row r="115" spans="2:12" ht="19.5" thickBot="1" x14ac:dyDescent="0.3">
      <c r="B115" s="19" t="s">
        <v>187</v>
      </c>
      <c r="C115" s="19">
        <f>ROUND(C113/C114, 2)</f>
        <v>1.59</v>
      </c>
      <c r="D115" s="19">
        <f t="shared" ref="D115:G115" si="23">ROUND(D113/D114, 2)</f>
        <v>1.34</v>
      </c>
      <c r="E115" s="19">
        <f t="shared" si="23"/>
        <v>1.46</v>
      </c>
      <c r="F115" s="19">
        <f t="shared" si="23"/>
        <v>1.31</v>
      </c>
      <c r="G115" s="19">
        <f t="shared" si="23"/>
        <v>1.07</v>
      </c>
      <c r="I115" s="26"/>
      <c r="J115" s="27"/>
      <c r="K115" s="27"/>
      <c r="L115" s="28"/>
    </row>
    <row r="116" spans="2:12" ht="15.75" thickTop="1" x14ac:dyDescent="0.25"/>
    <row r="117" spans="2:12" ht="19.5" thickBot="1" x14ac:dyDescent="0.3">
      <c r="B117" s="16" t="s">
        <v>188</v>
      </c>
      <c r="C117" s="16"/>
      <c r="D117" s="16"/>
      <c r="E117" s="16"/>
      <c r="F117" s="16"/>
      <c r="G117" s="16"/>
    </row>
    <row r="118" spans="2:12" ht="19.5" thickTop="1" x14ac:dyDescent="0.25">
      <c r="B118" s="17" t="str">
        <f>Income_Statement!B11</f>
        <v>Cost Of Materials Consumed</v>
      </c>
      <c r="C118" s="18">
        <f>Income_Statement!C11</f>
        <v>28114.9</v>
      </c>
      <c r="D118" s="18">
        <f>Income_Statement!D11</f>
        <v>32418.09</v>
      </c>
      <c r="E118" s="18">
        <f>Income_Statement!E11</f>
        <v>41205.43</v>
      </c>
      <c r="F118" s="18">
        <f>Income_Statement!F11</f>
        <v>54309.07</v>
      </c>
      <c r="G118" s="18">
        <f>Income_Statement!G11</f>
        <v>53244.21</v>
      </c>
      <c r="I118" s="20"/>
      <c r="J118" s="21"/>
      <c r="K118" s="21"/>
      <c r="L118" s="22"/>
    </row>
    <row r="119" spans="2:12" ht="18.75" x14ac:dyDescent="0.25">
      <c r="B119" s="17" t="str">
        <f>Balance_Sheet!B19</f>
        <v>Total Current Liabilities</v>
      </c>
      <c r="C119" s="18">
        <f>Balance_Sheet!C19</f>
        <v>42982.16</v>
      </c>
      <c r="D119" s="18">
        <f>Balance_Sheet!D19</f>
        <v>41531.770000000004</v>
      </c>
      <c r="E119" s="18">
        <f>Balance_Sheet!E19</f>
        <v>48706.84</v>
      </c>
      <c r="F119" s="18">
        <f>Balance_Sheet!F19</f>
        <v>58688.149999999994</v>
      </c>
      <c r="G119" s="18">
        <f>Balance_Sheet!G19</f>
        <v>51705.72</v>
      </c>
      <c r="I119" s="23"/>
      <c r="J119" s="24"/>
      <c r="K119" s="24"/>
      <c r="L119" s="25"/>
    </row>
    <row r="120" spans="2:12" ht="19.5" thickBot="1" x14ac:dyDescent="0.3">
      <c r="B120" s="19" t="s">
        <v>189</v>
      </c>
      <c r="C120" s="19">
        <f>ROUND(C118/C119, 2)</f>
        <v>0.65</v>
      </c>
      <c r="D120" s="19">
        <f t="shared" ref="D120:G120" si="24">ROUND(D118/D119, 2)</f>
        <v>0.78</v>
      </c>
      <c r="E120" s="19">
        <f t="shared" si="24"/>
        <v>0.85</v>
      </c>
      <c r="F120" s="19">
        <f t="shared" si="24"/>
        <v>0.93</v>
      </c>
      <c r="G120" s="19">
        <f t="shared" si="24"/>
        <v>1.03</v>
      </c>
      <c r="I120" s="26"/>
      <c r="J120" s="27"/>
      <c r="K120" s="27"/>
      <c r="L120" s="28"/>
    </row>
    <row r="121" spans="2:12" ht="15.75" thickTop="1" x14ac:dyDescent="0.25"/>
    <row r="122" spans="2:12" ht="19.5" thickBot="1" x14ac:dyDescent="0.3">
      <c r="B122" s="16" t="s">
        <v>190</v>
      </c>
      <c r="C122" s="16"/>
      <c r="D122" s="16"/>
      <c r="E122" s="16"/>
      <c r="F122" s="16"/>
      <c r="G122" s="16"/>
    </row>
    <row r="123" spans="2:12" ht="19.5" thickTop="1" x14ac:dyDescent="0.25">
      <c r="B123" s="17" t="str">
        <f>Income_Statement!B5</f>
        <v>Gross Sales</v>
      </c>
      <c r="C123" s="18">
        <f>Income_Statement!C5</f>
        <v>105683.18</v>
      </c>
      <c r="D123" s="18">
        <f>Income_Statement!D5</f>
        <v>116682.57</v>
      </c>
      <c r="E123" s="18">
        <f>Income_Statement!E5</f>
        <v>131741.49</v>
      </c>
      <c r="F123" s="18">
        <f>Income_Statement!F5</f>
        <v>154691.84</v>
      </c>
      <c r="G123" s="18">
        <f>Income_Statement!G5</f>
        <v>136976.76</v>
      </c>
      <c r="I123" s="20"/>
      <c r="J123" s="21"/>
      <c r="K123" s="21"/>
      <c r="L123" s="22"/>
    </row>
    <row r="124" spans="2:12" ht="18.75" x14ac:dyDescent="0.25">
      <c r="B124" s="17" t="str">
        <f>Balance_Sheet!B36</f>
        <v>Inventories</v>
      </c>
      <c r="C124" s="18">
        <f>Balance_Sheet!C36</f>
        <v>20013.330000000002</v>
      </c>
      <c r="D124" s="18">
        <f>Balance_Sheet!D36</f>
        <v>24803.82</v>
      </c>
      <c r="E124" s="18">
        <f>Balance_Sheet!E36</f>
        <v>28331.040000000001</v>
      </c>
      <c r="F124" s="18">
        <f>Balance_Sheet!F36</f>
        <v>31656.1</v>
      </c>
      <c r="G124" s="18">
        <f>Balance_Sheet!G36</f>
        <v>31068.720000000001</v>
      </c>
      <c r="I124" s="23"/>
      <c r="J124" s="24"/>
      <c r="K124" s="24"/>
      <c r="L124" s="25"/>
    </row>
    <row r="125" spans="2:12" ht="19.5" thickBot="1" x14ac:dyDescent="0.3">
      <c r="B125" s="19" t="s">
        <v>191</v>
      </c>
      <c r="C125" s="19">
        <f>ROUND(365/C123*C124, 2)</f>
        <v>69.12</v>
      </c>
      <c r="D125" s="19">
        <f t="shared" ref="D125:G125" si="25">ROUND(365/D123*D124, 2)</f>
        <v>77.59</v>
      </c>
      <c r="E125" s="19">
        <f t="shared" si="25"/>
        <v>78.489999999999995</v>
      </c>
      <c r="F125" s="19">
        <f t="shared" si="25"/>
        <v>74.69</v>
      </c>
      <c r="G125" s="19">
        <f t="shared" si="25"/>
        <v>82.79</v>
      </c>
      <c r="I125" s="26"/>
      <c r="J125" s="27"/>
      <c r="K125" s="27"/>
      <c r="L125" s="28"/>
    </row>
    <row r="126" spans="2:12" ht="15.75" thickTop="1" x14ac:dyDescent="0.25"/>
    <row r="127" spans="2:12" ht="19.5" thickBot="1" x14ac:dyDescent="0.3">
      <c r="B127" s="16" t="s">
        <v>192</v>
      </c>
      <c r="C127" s="16"/>
      <c r="D127" s="16"/>
      <c r="E127" s="16"/>
      <c r="F127" s="16"/>
      <c r="G127" s="16"/>
    </row>
    <row r="128" spans="2:12" ht="19.5" thickTop="1" x14ac:dyDescent="0.25">
      <c r="B128" s="17" t="str">
        <f>Income_Statement!B11</f>
        <v>Cost Of Materials Consumed</v>
      </c>
      <c r="C128" s="18">
        <f>Income_Statement!C11</f>
        <v>28114.9</v>
      </c>
      <c r="D128" s="18">
        <f>Income_Statement!D11</f>
        <v>32418.09</v>
      </c>
      <c r="E128" s="18">
        <f>Income_Statement!E11</f>
        <v>41205.43</v>
      </c>
      <c r="F128" s="18">
        <f>Income_Statement!F11</f>
        <v>54309.07</v>
      </c>
      <c r="G128" s="18">
        <f>Income_Statement!G11</f>
        <v>53244.21</v>
      </c>
      <c r="I128" s="20"/>
      <c r="J128" s="21"/>
      <c r="K128" s="21"/>
      <c r="L128" s="22"/>
    </row>
    <row r="129" spans="2:12" ht="18.75" x14ac:dyDescent="0.25">
      <c r="B129" s="17" t="str">
        <f>Balance_Sheet!B19</f>
        <v>Total Current Liabilities</v>
      </c>
      <c r="C129" s="18">
        <f>Balance_Sheet!C19</f>
        <v>42982.16</v>
      </c>
      <c r="D129" s="18">
        <f>Balance_Sheet!D19</f>
        <v>41531.770000000004</v>
      </c>
      <c r="E129" s="18">
        <f>Balance_Sheet!E19</f>
        <v>48706.84</v>
      </c>
      <c r="F129" s="18">
        <f>Balance_Sheet!F19</f>
        <v>58688.149999999994</v>
      </c>
      <c r="G129" s="18">
        <f>Balance_Sheet!G19</f>
        <v>51705.72</v>
      </c>
      <c r="I129" s="23"/>
      <c r="J129" s="24"/>
      <c r="K129" s="24"/>
      <c r="L129" s="25"/>
    </row>
    <row r="130" spans="2:12" ht="19.5" thickBot="1" x14ac:dyDescent="0.3">
      <c r="B130" s="19" t="s">
        <v>193</v>
      </c>
      <c r="C130" s="19">
        <f>ROUND(365/C128*C129, 2)</f>
        <v>558.01</v>
      </c>
      <c r="D130" s="19">
        <f t="shared" ref="D130:G130" si="26">ROUND(365/D128*D129, 2)</f>
        <v>467.61</v>
      </c>
      <c r="E130" s="19">
        <f t="shared" si="26"/>
        <v>431.45</v>
      </c>
      <c r="F130" s="19">
        <f t="shared" si="26"/>
        <v>394.43</v>
      </c>
      <c r="G130" s="19">
        <f t="shared" si="26"/>
        <v>354.45</v>
      </c>
      <c r="I130" s="26"/>
      <c r="J130" s="27"/>
      <c r="K130" s="27"/>
      <c r="L130" s="28"/>
    </row>
    <row r="131" spans="2:12" ht="15.75" thickTop="1" x14ac:dyDescent="0.25"/>
    <row r="132" spans="2:12" ht="19.5" thickBot="1" x14ac:dyDescent="0.3">
      <c r="B132" s="16" t="s">
        <v>194</v>
      </c>
      <c r="C132" s="16"/>
      <c r="D132" s="16"/>
      <c r="E132" s="16"/>
      <c r="F132" s="16"/>
      <c r="G132" s="16"/>
    </row>
    <row r="133" spans="2:12" ht="19.5" thickTop="1" x14ac:dyDescent="0.25">
      <c r="B133" s="17" t="str">
        <f>Income_Statement!B5</f>
        <v>Gross Sales</v>
      </c>
      <c r="C133" s="18">
        <f>Income_Statement!C5</f>
        <v>105683.18</v>
      </c>
      <c r="D133" s="18">
        <f>Income_Statement!D5</f>
        <v>116682.57</v>
      </c>
      <c r="E133" s="18">
        <f>Income_Statement!E5</f>
        <v>131741.49</v>
      </c>
      <c r="F133" s="18">
        <f>Income_Statement!F5</f>
        <v>154691.84</v>
      </c>
      <c r="G133" s="18">
        <f>Income_Statement!G5</f>
        <v>136976.76</v>
      </c>
      <c r="I133" s="20"/>
      <c r="J133" s="21"/>
      <c r="K133" s="21"/>
      <c r="L133" s="22"/>
    </row>
    <row r="134" spans="2:12" ht="18.75" x14ac:dyDescent="0.25">
      <c r="B134" s="17" t="str">
        <f>Balance_Sheet!B37</f>
        <v>Trade Receivables</v>
      </c>
      <c r="C134" s="18">
        <f>Balance_Sheet!C37</f>
        <v>12066.22</v>
      </c>
      <c r="D134" s="18">
        <f>Balance_Sheet!D37</f>
        <v>11586.82</v>
      </c>
      <c r="E134" s="18">
        <f>Balance_Sheet!E37</f>
        <v>12415.52</v>
      </c>
      <c r="F134" s="18">
        <f>Balance_Sheet!F37</f>
        <v>11811</v>
      </c>
      <c r="G134" s="18">
        <f>Balance_Sheet!G37</f>
        <v>7884.91</v>
      </c>
      <c r="I134" s="23"/>
      <c r="J134" s="24"/>
      <c r="K134" s="24"/>
      <c r="L134" s="25"/>
    </row>
    <row r="135" spans="2:12" ht="19.5" thickBot="1" x14ac:dyDescent="0.3">
      <c r="B135" s="19" t="s">
        <v>195</v>
      </c>
      <c r="C135" s="19">
        <f>ROUND(365/C133*C134, 2)</f>
        <v>41.67</v>
      </c>
      <c r="D135" s="19">
        <f t="shared" ref="D135:G135" si="27">ROUND(365/D133*D134, 2)</f>
        <v>36.25</v>
      </c>
      <c r="E135" s="19">
        <f t="shared" si="27"/>
        <v>34.4</v>
      </c>
      <c r="F135" s="19">
        <f t="shared" si="27"/>
        <v>27.87</v>
      </c>
      <c r="G135" s="19">
        <f t="shared" si="27"/>
        <v>21.01</v>
      </c>
      <c r="I135" s="26"/>
      <c r="J135" s="27"/>
      <c r="K135" s="27"/>
      <c r="L135" s="28"/>
    </row>
    <row r="136" spans="2:12" ht="15.75" thickTop="1" x14ac:dyDescent="0.25"/>
    <row r="137" spans="2:12" ht="18.75" x14ac:dyDescent="0.25">
      <c r="B137" s="16" t="s">
        <v>196</v>
      </c>
      <c r="C137" s="16"/>
      <c r="D137" s="16"/>
      <c r="E137" s="16"/>
      <c r="F137" s="16"/>
      <c r="G137" s="16"/>
    </row>
    <row r="138" spans="2:12" ht="18.75" x14ac:dyDescent="0.25">
      <c r="B138" s="17" t="str">
        <f>Income_Statement!B5</f>
        <v>Gross Sales</v>
      </c>
      <c r="C138" s="18">
        <f>Income_Statement!C5</f>
        <v>105683.18</v>
      </c>
      <c r="D138" s="18">
        <f>Income_Statement!D5</f>
        <v>116682.57</v>
      </c>
      <c r="E138" s="18">
        <f>Income_Statement!E5</f>
        <v>131741.49</v>
      </c>
      <c r="F138" s="18">
        <f>Income_Statement!F5</f>
        <v>154691.84</v>
      </c>
      <c r="G138" s="18">
        <f>Income_Statement!G5</f>
        <v>136976.76</v>
      </c>
    </row>
    <row r="139" spans="2:12" ht="18.75" x14ac:dyDescent="0.25">
      <c r="B139" s="17" t="str">
        <f>Balance_Sheet!B36</f>
        <v>Inventories</v>
      </c>
      <c r="C139" s="18">
        <f>Balance_Sheet!C36</f>
        <v>20013.330000000002</v>
      </c>
      <c r="D139" s="18">
        <f>Balance_Sheet!D36</f>
        <v>24803.82</v>
      </c>
      <c r="E139" s="18">
        <f>Balance_Sheet!E36</f>
        <v>28331.040000000001</v>
      </c>
      <c r="F139" s="18">
        <f>Balance_Sheet!F36</f>
        <v>31656.1</v>
      </c>
      <c r="G139" s="18">
        <f>Balance_Sheet!G36</f>
        <v>31068.720000000001</v>
      </c>
    </row>
    <row r="140" spans="2:12" ht="18.75" x14ac:dyDescent="0.25">
      <c r="B140" s="17" t="s">
        <v>191</v>
      </c>
      <c r="C140" s="18">
        <f>ROUND(365/C138*C139, 2)</f>
        <v>69.12</v>
      </c>
      <c r="D140" s="18">
        <f t="shared" ref="D140:G140" si="28">ROUND(365/D138*D139, 2)</f>
        <v>77.59</v>
      </c>
      <c r="E140" s="18">
        <f t="shared" si="28"/>
        <v>78.489999999999995</v>
      </c>
      <c r="F140" s="18">
        <f t="shared" si="28"/>
        <v>74.69</v>
      </c>
      <c r="G140" s="18">
        <f t="shared" si="28"/>
        <v>82.79</v>
      </c>
    </row>
    <row r="141" spans="2:12" ht="19.5" thickBot="1" x14ac:dyDescent="0.3">
      <c r="B141" s="17" t="str">
        <f>Income_Statement!B11</f>
        <v>Cost Of Materials Consumed</v>
      </c>
      <c r="C141" s="18">
        <f>Income_Statement!C11</f>
        <v>28114.9</v>
      </c>
      <c r="D141" s="18">
        <f>Income_Statement!D11</f>
        <v>32418.09</v>
      </c>
      <c r="E141" s="18">
        <f>Income_Statement!E11</f>
        <v>41205.43</v>
      </c>
      <c r="F141" s="18">
        <f>Income_Statement!F11</f>
        <v>54309.07</v>
      </c>
      <c r="G141" s="18">
        <f>Income_Statement!G11</f>
        <v>53244.21</v>
      </c>
    </row>
    <row r="142" spans="2:12" ht="19.5" thickTop="1" x14ac:dyDescent="0.25">
      <c r="B142" s="17" t="str">
        <f>Balance_Sheet!B19</f>
        <v>Total Current Liabilities</v>
      </c>
      <c r="C142" s="18">
        <f>Balance_Sheet!C19</f>
        <v>42982.16</v>
      </c>
      <c r="D142" s="18">
        <f>Balance_Sheet!D19</f>
        <v>41531.770000000004</v>
      </c>
      <c r="E142" s="18">
        <f>Balance_Sheet!E19</f>
        <v>48706.84</v>
      </c>
      <c r="F142" s="18">
        <f>Balance_Sheet!F19</f>
        <v>58688.149999999994</v>
      </c>
      <c r="G142" s="18">
        <f>Balance_Sheet!G19</f>
        <v>51705.72</v>
      </c>
      <c r="I142" s="20"/>
      <c r="J142" s="21"/>
      <c r="K142" s="21"/>
      <c r="L142" s="22"/>
    </row>
    <row r="143" spans="2:12" ht="18.75" x14ac:dyDescent="0.25">
      <c r="B143" s="17" t="s">
        <v>193</v>
      </c>
      <c r="C143" s="18">
        <f>ROUND(365/C141*C142, 2)</f>
        <v>558.01</v>
      </c>
      <c r="D143" s="18">
        <f t="shared" ref="D143:G143" si="29">ROUND(365/D141*D142, 2)</f>
        <v>467.61</v>
      </c>
      <c r="E143" s="18">
        <f t="shared" si="29"/>
        <v>431.45</v>
      </c>
      <c r="F143" s="18">
        <f t="shared" si="29"/>
        <v>394.43</v>
      </c>
      <c r="G143" s="18">
        <f t="shared" si="29"/>
        <v>354.45</v>
      </c>
      <c r="I143" s="23"/>
      <c r="J143" s="24"/>
      <c r="K143" s="24"/>
      <c r="L143" s="25"/>
    </row>
    <row r="144" spans="2:12" ht="19.5" thickBot="1" x14ac:dyDescent="0.3">
      <c r="B144" s="19" t="s">
        <v>197</v>
      </c>
      <c r="C144" s="30">
        <f>ROUND(C143+C140, 2)</f>
        <v>627.13</v>
      </c>
      <c r="D144" s="30">
        <f t="shared" ref="D144:G144" si="30">ROUND(D143+D140, 2)</f>
        <v>545.20000000000005</v>
      </c>
      <c r="E144" s="30">
        <f t="shared" si="30"/>
        <v>509.94</v>
      </c>
      <c r="F144" s="30">
        <f t="shared" si="30"/>
        <v>469.12</v>
      </c>
      <c r="G144" s="30">
        <f t="shared" si="30"/>
        <v>437.24</v>
      </c>
      <c r="I144" s="26"/>
      <c r="J144" s="27"/>
      <c r="K144" s="27"/>
      <c r="L144" s="28"/>
    </row>
    <row r="145" spans="2:12" ht="15.75" thickTop="1" x14ac:dyDescent="0.25"/>
    <row r="146" spans="2:12" ht="18.75" x14ac:dyDescent="0.25">
      <c r="B146" s="16" t="s">
        <v>198</v>
      </c>
      <c r="C146" s="16"/>
      <c r="D146" s="16"/>
      <c r="E146" s="16"/>
      <c r="F146" s="16"/>
      <c r="G146" s="16"/>
    </row>
    <row r="147" spans="2:12" ht="18.75" x14ac:dyDescent="0.25">
      <c r="B147" s="17" t="str">
        <f>Income_Statement!B5</f>
        <v>Gross Sales</v>
      </c>
      <c r="C147" s="18">
        <f>Income_Statement!C5</f>
        <v>105683.18</v>
      </c>
      <c r="D147" s="18">
        <f>Income_Statement!D5</f>
        <v>116682.57</v>
      </c>
      <c r="E147" s="18">
        <f>Income_Statement!E5</f>
        <v>131741.49</v>
      </c>
      <c r="F147" s="18">
        <f>Income_Statement!F5</f>
        <v>154691.84</v>
      </c>
      <c r="G147" s="18">
        <f>Income_Statement!G5</f>
        <v>136976.76</v>
      </c>
    </row>
    <row r="148" spans="2:12" ht="18.75" x14ac:dyDescent="0.25">
      <c r="B148" s="17" t="str">
        <f>Balance_Sheet!B36</f>
        <v>Inventories</v>
      </c>
      <c r="C148" s="18">
        <f>Balance_Sheet!C36</f>
        <v>20013.330000000002</v>
      </c>
      <c r="D148" s="18">
        <f>Balance_Sheet!D36</f>
        <v>24803.82</v>
      </c>
      <c r="E148" s="18">
        <f>Balance_Sheet!E36</f>
        <v>28331.040000000001</v>
      </c>
      <c r="F148" s="18">
        <f>Balance_Sheet!F36</f>
        <v>31656.1</v>
      </c>
      <c r="G148" s="18">
        <f>Balance_Sheet!G36</f>
        <v>31068.720000000001</v>
      </c>
    </row>
    <row r="149" spans="2:12" ht="18.75" x14ac:dyDescent="0.25">
      <c r="B149" s="17" t="s">
        <v>191</v>
      </c>
      <c r="C149" s="18">
        <f>ROUND(365/C147*C148, 2)</f>
        <v>69.12</v>
      </c>
      <c r="D149" s="18">
        <f t="shared" ref="D149:G149" si="31">ROUND(365/D147*D148, 2)</f>
        <v>77.59</v>
      </c>
      <c r="E149" s="18">
        <f t="shared" si="31"/>
        <v>78.489999999999995</v>
      </c>
      <c r="F149" s="18">
        <f t="shared" si="31"/>
        <v>74.69</v>
      </c>
      <c r="G149" s="18">
        <f t="shared" si="31"/>
        <v>82.79</v>
      </c>
    </row>
    <row r="150" spans="2:12" ht="18.75" x14ac:dyDescent="0.25">
      <c r="B150" s="17" t="str">
        <f>Income_Statement!B11</f>
        <v>Cost Of Materials Consumed</v>
      </c>
      <c r="C150" s="18">
        <f>Income_Statement!C11</f>
        <v>28114.9</v>
      </c>
      <c r="D150" s="18">
        <f>Income_Statement!D11</f>
        <v>32418.09</v>
      </c>
      <c r="E150" s="18">
        <f>Income_Statement!E11</f>
        <v>41205.43</v>
      </c>
      <c r="F150" s="18">
        <f>Income_Statement!F11</f>
        <v>54309.07</v>
      </c>
      <c r="G150" s="18">
        <f>Income_Statement!G11</f>
        <v>53244.21</v>
      </c>
    </row>
    <row r="151" spans="2:12" ht="18.75" x14ac:dyDescent="0.25">
      <c r="B151" s="17" t="str">
        <f>Balance_Sheet!B19</f>
        <v>Total Current Liabilities</v>
      </c>
      <c r="C151" s="18">
        <f>Balance_Sheet!C19</f>
        <v>42982.16</v>
      </c>
      <c r="D151" s="18">
        <f>Balance_Sheet!D19</f>
        <v>41531.770000000004</v>
      </c>
      <c r="E151" s="18">
        <f>Balance_Sheet!E19</f>
        <v>48706.84</v>
      </c>
      <c r="F151" s="18">
        <f>Balance_Sheet!F19</f>
        <v>58688.149999999994</v>
      </c>
      <c r="G151" s="18">
        <f>Balance_Sheet!G19</f>
        <v>51705.72</v>
      </c>
    </row>
    <row r="152" spans="2:12" ht="18.75" x14ac:dyDescent="0.25">
      <c r="B152" s="17" t="s">
        <v>193</v>
      </c>
      <c r="C152" s="18">
        <f>ROUND(365/C150*C151, 2)</f>
        <v>558.01</v>
      </c>
      <c r="D152" s="18">
        <f t="shared" ref="D152:G152" si="32">ROUND(365/D150*D151, 2)</f>
        <v>467.61</v>
      </c>
      <c r="E152" s="18">
        <f t="shared" si="32"/>
        <v>431.45</v>
      </c>
      <c r="F152" s="18">
        <f t="shared" si="32"/>
        <v>394.43</v>
      </c>
      <c r="G152" s="18">
        <f t="shared" si="32"/>
        <v>354.45</v>
      </c>
    </row>
    <row r="153" spans="2:12" ht="18.75" x14ac:dyDescent="0.25">
      <c r="B153" s="17" t="s">
        <v>199</v>
      </c>
      <c r="C153" s="18">
        <f>ROUND(C152+C149, 2)</f>
        <v>627.13</v>
      </c>
      <c r="D153" s="18">
        <f t="shared" ref="D153:G153" si="33">ROUND(D152+D149, 2)</f>
        <v>545.20000000000005</v>
      </c>
      <c r="E153" s="18">
        <f t="shared" si="33"/>
        <v>509.94</v>
      </c>
      <c r="F153" s="18">
        <f t="shared" si="33"/>
        <v>469.12</v>
      </c>
      <c r="G153" s="18">
        <f t="shared" si="33"/>
        <v>437.24</v>
      </c>
    </row>
    <row r="154" spans="2:12" ht="19.5" thickBot="1" x14ac:dyDescent="0.3">
      <c r="B154" s="17" t="str">
        <f>Income_Statement!B11</f>
        <v>Cost Of Materials Consumed</v>
      </c>
      <c r="C154" s="18">
        <f>Income_Statement!C11</f>
        <v>28114.9</v>
      </c>
      <c r="D154" s="18">
        <f>Income_Statement!D11</f>
        <v>32418.09</v>
      </c>
      <c r="E154" s="18">
        <f>Income_Statement!E11</f>
        <v>41205.43</v>
      </c>
      <c r="F154" s="18">
        <f>Income_Statement!F11</f>
        <v>54309.07</v>
      </c>
      <c r="G154" s="18">
        <f>Income_Statement!G11</f>
        <v>53244.21</v>
      </c>
    </row>
    <row r="155" spans="2:12" ht="19.5" thickTop="1" x14ac:dyDescent="0.25">
      <c r="B155" s="17" t="str">
        <f>Balance_Sheet!B19</f>
        <v>Total Current Liabilities</v>
      </c>
      <c r="C155" s="18">
        <f>Balance_Sheet!C19</f>
        <v>42982.16</v>
      </c>
      <c r="D155" s="18">
        <f>Balance_Sheet!D19</f>
        <v>41531.770000000004</v>
      </c>
      <c r="E155" s="18">
        <f>Balance_Sheet!E19</f>
        <v>48706.84</v>
      </c>
      <c r="F155" s="18">
        <f>Balance_Sheet!F19</f>
        <v>58688.149999999994</v>
      </c>
      <c r="G155" s="18">
        <f>Balance_Sheet!G19</f>
        <v>51705.72</v>
      </c>
      <c r="I155" s="20"/>
      <c r="J155" s="21"/>
      <c r="K155" s="21"/>
      <c r="L155" s="22"/>
    </row>
    <row r="156" spans="2:12" ht="18.75" x14ac:dyDescent="0.25">
      <c r="B156" s="17" t="s">
        <v>193</v>
      </c>
      <c r="C156" s="18">
        <f>ROUND(365/C154*C155, 2)</f>
        <v>558.01</v>
      </c>
      <c r="D156" s="18">
        <f t="shared" ref="D156:G156" si="34">ROUND(365/D154*D155, 2)</f>
        <v>467.61</v>
      </c>
      <c r="E156" s="18">
        <f t="shared" si="34"/>
        <v>431.45</v>
      </c>
      <c r="F156" s="18">
        <f t="shared" si="34"/>
        <v>394.43</v>
      </c>
      <c r="G156" s="18">
        <f t="shared" si="34"/>
        <v>354.45</v>
      </c>
      <c r="I156" s="23"/>
      <c r="J156" s="24"/>
      <c r="K156" s="24"/>
      <c r="L156" s="25"/>
    </row>
    <row r="157" spans="2:12" ht="19.5" thickBot="1" x14ac:dyDescent="0.3">
      <c r="B157" s="19" t="s">
        <v>200</v>
      </c>
      <c r="C157" s="30">
        <f>ROUND(C156-C153, 2)</f>
        <v>-69.12</v>
      </c>
      <c r="D157" s="30">
        <f t="shared" ref="D157:G157" si="35">ROUND(D156-D153, 2)</f>
        <v>-77.59</v>
      </c>
      <c r="E157" s="30">
        <f t="shared" si="35"/>
        <v>-78.489999999999995</v>
      </c>
      <c r="F157" s="30">
        <f t="shared" si="35"/>
        <v>-74.69</v>
      </c>
      <c r="G157" s="30">
        <f t="shared" si="35"/>
        <v>-82.79</v>
      </c>
      <c r="I157" s="26"/>
      <c r="J157" s="27"/>
      <c r="K157" s="27"/>
      <c r="L157" s="28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hyperlinks>
    <hyperlink ref="F1" location="Index_Data!A1" tooltip="Hi click here To return Index page" display="Index_Data!A1" xr:uid="{749CA3CA-6911-44A2-B3BC-2F65532F6AB5}"/>
  </hyperlink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A39C0BA1-FB5E-4D97-A616-828CEEF5F79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6755DD3B-1273-40D8-A5C3-CF4B293B17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BF49DCDC-977B-4C84-B498-0E31B824EC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BC6BD084-1660-4F8D-925A-4E636C1943F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46C1AF42-B027-49BC-9834-675FEE56E10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2B5610EE-F2A0-41DF-BE5F-DFAEE793D8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1984E7CC-A61A-4CA7-83B8-DF90E634DCF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3FD0158A-8472-4C11-9C59-184C12CA5EE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BC2F22D1-CEB5-4476-946F-F1B77820EA8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26F7E483-957C-45B7-AC12-CCED020DEEA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FFCC0D13-72EA-4CF0-A65A-AFD9494FFB1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73059D8C-373D-48AE-BD76-2C1121AB3C8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745AD7C0-7B2B-4411-B6D9-DB7C585A30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629FBD3-FF2A-4970-B414-A0D0652E21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B202CAEE-77A2-41C0-BB43-DA43EDF6A78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312137EA-36AE-4F5F-84F3-A2EC11B7CF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8612C692-721B-4DF3-A3A9-FA17B76DC92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13B69CE2-F749-4406-A063-0B2979F012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6A9DD57D-25B2-4AAF-B0B3-8EC81038A59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8BFCC986-C5E4-4905-8A9A-49A19BBDF43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B67B1D4-FA42-4724-A125-939A34AAEB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441FA694-707F-4163-9C14-109375679AB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934379C4-4AEE-41CC-9A75-3EEAFE6B3B6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C09A258C-BA93-422B-A5CB-F9F3A63CE7D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E7644B4D-2E95-475F-9779-6CA1D3EE29C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7170E4D4-2EA4-4C52-86F8-1EB45E2FD03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441530B0-CF74-4B18-A6AA-D6DEFA6AD18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2148-9909-4E81-9E7E-C449E982B3BA}">
  <sheetPr codeName="Sheet9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6" width="13.140625" bestFit="1" customWidth="1"/>
    <col min="7" max="7" width="11.57031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144</v>
      </c>
      <c r="C5" s="16"/>
      <c r="D5" s="16"/>
      <c r="E5" s="16"/>
      <c r="F5" s="16"/>
      <c r="G5" s="16"/>
    </row>
    <row r="6" spans="2:15" ht="18.75" x14ac:dyDescent="0.25">
      <c r="B6" s="17" t="str">
        <f>Income_Statement!B27</f>
        <v>Reported Net Profit(PAT)</v>
      </c>
      <c r="C6" s="18">
        <f>Income_Statement!C27</f>
        <v>12910.059999999994</v>
      </c>
      <c r="D6" s="18">
        <f>Income_Statement!D27</f>
        <v>5072.7000000000025</v>
      </c>
      <c r="E6" s="18">
        <f>Income_Statement!E27</f>
        <v>26213.660000000003</v>
      </c>
      <c r="F6" s="18">
        <f>Income_Statement!F27</f>
        <v>10792.429999999978</v>
      </c>
      <c r="G6" s="18">
        <f>Income_Statement!G27</f>
        <v>1221.3699999999826</v>
      </c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</row>
    <row r="8" spans="2:15" ht="18.75" x14ac:dyDescent="0.25">
      <c r="B8" s="19" t="s">
        <v>145</v>
      </c>
      <c r="C8" s="19">
        <f>ROUND(C6/C7, 2)</f>
        <v>-7</v>
      </c>
      <c r="D8" s="19">
        <f t="shared" ref="D8:G8" si="0">ROUND(D6/D7, 2)</f>
        <v>-43</v>
      </c>
      <c r="E8" s="19">
        <f t="shared" si="0"/>
        <v>128</v>
      </c>
      <c r="F8" s="19">
        <f t="shared" si="0"/>
        <v>88</v>
      </c>
      <c r="G8" s="19">
        <f t="shared" si="0"/>
        <v>12</v>
      </c>
    </row>
  </sheetData>
  <mergeCells count="1">
    <mergeCell ref="B5:G5"/>
  </mergeCells>
  <hyperlinks>
    <hyperlink ref="F1" location="Index_Data!A1" tooltip="Hi click here To return Index page" display="Index_Data!A1" xr:uid="{EA525FBE-E928-43D7-BB12-F6A0115BD383}"/>
  </hyperlink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87EAC-F28B-44F4-9B4B-FA1B66CFD1A0}">
  <sheetPr codeName="Sheet10"/>
  <dimension ref="B1:O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2.5703125" bestFit="1" customWidth="1"/>
    <col min="4" max="7" width="11.5703125" bestFit="1" customWidth="1"/>
  </cols>
  <sheetData>
    <row r="1" spans="2:15" x14ac:dyDescent="0.25">
      <c r="F1" s="31" t="s">
        <v>203</v>
      </c>
      <c r="O1" s="33"/>
    </row>
    <row r="3" spans="2:15" ht="18.75" x14ac:dyDescent="0.25">
      <c r="B3" s="15" t="s">
        <v>143</v>
      </c>
      <c r="C3" s="15">
        <v>2015</v>
      </c>
      <c r="D3" s="15">
        <v>2016</v>
      </c>
      <c r="E3" s="15">
        <v>2017</v>
      </c>
      <c r="F3" s="15">
        <v>2018</v>
      </c>
      <c r="G3" s="15">
        <v>2019</v>
      </c>
    </row>
    <row r="5" spans="2:15" ht="18.75" x14ac:dyDescent="0.25">
      <c r="B5" s="16" t="s">
        <v>146</v>
      </c>
      <c r="C5" s="16"/>
      <c r="D5" s="16"/>
      <c r="E5" s="16"/>
      <c r="F5" s="16"/>
      <c r="G5" s="16"/>
    </row>
    <row r="6" spans="2:15" ht="18.75" x14ac:dyDescent="0.25">
      <c r="B6" s="17" t="str">
        <f>Income_Statement!B28</f>
        <v>Equity Share Dividend</v>
      </c>
      <c r="C6" s="18">
        <f>Income_Statement!C28</f>
        <v>776.97</v>
      </c>
      <c r="D6" s="18">
        <f>Income_Statement!D28</f>
        <v>1043.07</v>
      </c>
      <c r="E6" s="18">
        <f>Income_Statement!E28</f>
        <v>1236.18</v>
      </c>
      <c r="F6" s="18">
        <f>Income_Statement!F28</f>
        <v>1144.76</v>
      </c>
      <c r="G6" s="18">
        <f>Income_Statement!G28</f>
        <v>1488.13</v>
      </c>
    </row>
    <row r="7" spans="2:15" ht="18.75" x14ac:dyDescent="0.25">
      <c r="B7" s="17" t="str">
        <f>Income_Statement!B35</f>
        <v>Total Shares Outstanding(cr)</v>
      </c>
      <c r="C7" s="18">
        <f>Income_Statement!C35</f>
        <v>-1844.2942857142848</v>
      </c>
      <c r="D7" s="18">
        <f>Income_Statement!D35</f>
        <v>-117.96976744186053</v>
      </c>
      <c r="E7" s="18">
        <f>Income_Statement!E35</f>
        <v>204.79421875000003</v>
      </c>
      <c r="F7" s="18">
        <f>Income_Statement!F35</f>
        <v>122.64124999999976</v>
      </c>
      <c r="G7" s="18">
        <f>Income_Statement!G35</f>
        <v>101.78083333333188</v>
      </c>
    </row>
    <row r="8" spans="2:15" ht="18.75" x14ac:dyDescent="0.25">
      <c r="B8" s="19" t="s">
        <v>147</v>
      </c>
      <c r="C8" s="19">
        <f>ROUND(C6/C7, 2)</f>
        <v>-0.42</v>
      </c>
      <c r="D8" s="19">
        <f t="shared" ref="D8:G8" si="0">ROUND(D6/D7, 2)</f>
        <v>-8.84</v>
      </c>
      <c r="E8" s="19">
        <f t="shared" si="0"/>
        <v>6.04</v>
      </c>
      <c r="F8" s="19">
        <f t="shared" si="0"/>
        <v>9.33</v>
      </c>
      <c r="G8" s="19">
        <f t="shared" si="0"/>
        <v>14.62</v>
      </c>
    </row>
  </sheetData>
  <mergeCells count="1">
    <mergeCell ref="B5:G5"/>
  </mergeCells>
  <hyperlinks>
    <hyperlink ref="F1" location="Index_Data!A1" tooltip="Hi click here To return Index page" display="Index_Data!A1" xr:uid="{F2942300-E61B-4BAD-A0E7-0FE5F67D7470}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46</vt:i4>
      </vt:variant>
      <vt:variant>
        <vt:lpstr>Named Ranges</vt:lpstr>
      </vt:variant>
      <vt:variant>
        <vt:i4>84</vt:i4>
      </vt:variant>
    </vt:vector>
  </HeadingPairs>
  <TitlesOfParts>
    <vt:vector size="130" baseType="lpstr">
      <vt:lpstr>Index_Data</vt:lpstr>
      <vt:lpstr>Income_Statement</vt:lpstr>
      <vt:lpstr>Balance_Sheet</vt:lpstr>
      <vt:lpstr>CashFlow_Statement</vt:lpstr>
      <vt:lpstr>CommonSize_Balance_Sheet</vt:lpstr>
      <vt:lpstr>CommonSize_Income_Statement</vt:lpstr>
      <vt:lpstr>Ratios</vt:lpstr>
      <vt:lpstr>Earning__Per_Share</vt:lpstr>
      <vt:lpstr>Equity_Dividend_Per_Share</vt:lpstr>
      <vt:lpstr>Book_Value__Per_Share</vt:lpstr>
      <vt:lpstr>Dividend_Pay_Out_Ratio</vt:lpstr>
      <vt:lpstr>Dividend_Retention_Ratio</vt:lpstr>
      <vt:lpstr>Gross_Profit</vt:lpstr>
      <vt:lpstr>Net_Profit</vt:lpstr>
      <vt:lpstr>Return_On_Assets</vt:lpstr>
      <vt:lpstr>Return_On_Capital_Employeed</vt:lpstr>
      <vt:lpstr>Return_On_Equity</vt:lpstr>
      <vt:lpstr>Debt_Equity_Ratio</vt:lpstr>
      <vt:lpstr>Current_Ratio</vt:lpstr>
      <vt:lpstr>Quick_Ratio</vt:lpstr>
      <vt:lpstr>Interest_Coverage_Ratio</vt:lpstr>
      <vt:lpstr>Material_Consumed</vt:lpstr>
      <vt:lpstr>Defensive_Interval_Ratio</vt:lpstr>
      <vt:lpstr>Purchases_Per_Day</vt:lpstr>
      <vt:lpstr>Asset_TurnOver_Ratio</vt:lpstr>
      <vt:lpstr>Inventory_TurnOver_Ratio</vt:lpstr>
      <vt:lpstr>Debtors_TurnOver_Ratio</vt:lpstr>
      <vt:lpstr>Fixed_Assets_TurnOver_Ratio</vt:lpstr>
      <vt:lpstr>Payable_TurnOver_Ratio</vt:lpstr>
      <vt:lpstr>Inventory_Days</vt:lpstr>
      <vt:lpstr>Payable_Days</vt:lpstr>
      <vt:lpstr>Receivable_Days</vt:lpstr>
      <vt:lpstr>Operating_Cycle</vt:lpstr>
      <vt:lpstr>Cash_Conversion_Cycle_Days</vt:lpstr>
      <vt:lpstr>NetWorthVsTotalLiabilties</vt:lpstr>
      <vt:lpstr>PBDITvsPBIT</vt:lpstr>
      <vt:lpstr>CAvsCL</vt:lpstr>
      <vt:lpstr>Long_And_Short_Term_Provisions</vt:lpstr>
      <vt:lpstr>MaterialConsumed_DirectExpenses</vt:lpstr>
      <vt:lpstr>Gross_Sales_In_Total_Income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Net_Profit_CF_To_Balance_Sheet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2020-11-30T17:26:06Z</dcterms:created>
  <dcterms:modified xsi:type="dcterms:W3CDTF">2020-11-30T17:35:35Z</dcterms:modified>
</cp:coreProperties>
</file>